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" sheetId="1" state="visible" r:id="rId1"/>
    <sheet xmlns:r="http://schemas.openxmlformats.org/officeDocument/2006/relationships" name="Sensitivity_engine" sheetId="2" state="visible" r:id="rId2"/>
  </sheets>
  <definedNames>
    <definedName name="hw_rev_per_ring">Model!$B$8</definedName>
    <definedName name="hw_gm">Model!$B$9</definedName>
    <definedName name="mem_arpu">Model!$B$10</definedName>
    <definedName name="mem_gm">Model!$B$11</definedName>
    <definedName name="conv">Model!$B$12</definedName>
    <definedName name="repeat_share">Model!$B$13</definedName>
    <definedName name="retention_12m">Model!$B$14</definedName>
    <definedName name="cac_per_ring">Model!$B$15</definedName>
    <definedName name="rings_per_year">Model!$B$17</definedName>
    <definedName name="members0">Model!$B$18</definedName>
    <definedName name="fixed_costs">Model!$B$19</definedName>
    <definedName name="net_debt">Model!$B$20</definedName>
    <definedName name="ttm_revenue">Model!$B$21</definedName>
    <definedName name="tax_rate">Model!$B$23</definedName>
    <definedName name="discount_rate">Model!$B$24</definedName>
    <definedName name="ring_growth">Model!$B$25</definedName>
    <definedName name="growth_years">Model!$B$26</definedName>
    <definedName name="fixed_growth">Model!$B$27</definedName>
    <definedName name="terminal_growth">Model!$B$28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#,##0.0"/>
    <numFmt numFmtId="166" formatCode="0.000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/>
  </fonts>
  <fills count="5">
    <fill>
      <patternFill/>
    </fill>
    <fill>
      <patternFill patternType="gray125"/>
    </fill>
    <fill>
      <patternFill patternType="solid">
        <fgColor rgb="00E8E8E8"/>
      </patternFill>
    </fill>
    <fill>
      <patternFill patternType="solid">
        <fgColor rgb="00FFF3C4"/>
      </patternFill>
    </fill>
    <fill>
      <patternFill patternType="solid">
        <fgColor rgb="00FCE4E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0" pivotButton="0" quotePrefix="0" xfId="0"/>
    <xf numFmtId="4" fontId="0" fillId="3" borderId="1" pivotButton="0" quotePrefix="0" xfId="0"/>
    <xf numFmtId="0" fontId="0" fillId="0" borderId="0" applyAlignment="1" pivotButton="0" quotePrefix="0" xfId="0">
      <alignment vertical="top" wrapText="1"/>
    </xf>
    <xf numFmtId="164" fontId="0" fillId="3" borderId="1" pivotButton="0" quotePrefix="0" xfId="0"/>
    <xf numFmtId="2" fontId="0" fillId="3" borderId="1" pivotButton="0" quotePrefix="0" xfId="0"/>
    <xf numFmtId="165" fontId="0" fillId="3" borderId="1" pivotButton="0" quotePrefix="0" xfId="0"/>
    <xf numFmtId="4" fontId="0" fillId="0" borderId="1" pivotButton="0" quotePrefix="0" xfId="0"/>
    <xf numFmtId="2" fontId="0" fillId="0" borderId="1" pivotButton="0" quotePrefix="0" xfId="0"/>
    <xf numFmtId="166" fontId="0" fillId="0" borderId="1" pivotButton="0" quotePrefix="0" xfId="0"/>
    <xf numFmtId="49" fontId="0" fillId="0" borderId="1" pivotButton="0" quotePrefix="0" xfId="0"/>
    <xf numFmtId="2" fontId="3" fillId="3" borderId="1" pivotButton="0" quotePrefix="0" xfId="0"/>
    <xf numFmtId="0" fontId="3" fillId="2" borderId="0" applyAlignment="1" pivotButton="0" quotePrefix="0" xfId="0">
      <alignment horizontal="center"/>
    </xf>
    <xf numFmtId="2" fontId="0" fillId="0" borderId="0" pivotButton="0" quotePrefix="0" xfId="0"/>
    <xf numFmtId="2" fontId="3" fillId="0" borderId="0" pivotButton="0" quotePrefix="0" xfId="0"/>
    <xf numFmtId="165" fontId="0" fillId="0" borderId="0" pivotButton="0" quotePrefix="0" xfId="0"/>
    <xf numFmtId="165" fontId="3" fillId="0" borderId="0" pivotButton="0" quotePrefix="0" xfId="0"/>
    <xf numFmtId="164" fontId="0" fillId="0" borderId="0" pivotButton="0" quotePrefix="0" xfId="0"/>
    <xf numFmtId="0" fontId="4" fillId="0" borderId="0" pivotButton="0" quotePrefix="0" xfId="0"/>
    <xf numFmtId="165" fontId="0" fillId="0" borderId="1" pivotButton="0" quotePrefix="0" xfId="0"/>
    <xf numFmtId="165" fontId="3" fillId="4" borderId="1" pivotButton="0" quotePrefix="0" xfId="0"/>
    <xf numFmtId="164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9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4" customWidth="1" min="2" max="2"/>
    <col width="12" customWidth="1" min="3" max="3"/>
    <col width="22" customWidth="1" min="4" max="4"/>
    <col width="60" customWidth="1" min="5" max="5"/>
    <col width="40" customWidth="1" min="6" max="6"/>
    <col width="44" customWidth="1" min="7" max="7"/>
    <col width="40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70" customWidth="1" min="15" max="15"/>
  </cols>
  <sheetData>
    <row r="1">
      <c r="A1" s="1" t="inlineStr">
        <is>
          <t>Oura valuation model — what is one Oura member worth, and what is a company of five million of them worth?</t>
        </is>
      </c>
    </row>
    <row r="2">
      <c r="A2" s="2" t="inlineStr">
        <is>
          <t>Source: Oura Inc. Form S-1, accession 0001193125-26-381855, filed 2026-09-03. Nine months = Oct 1 2025 - Jun 30 2026. Press figures are labelled press. Generated from inputs.json + model.js by build_xlsx.py — do not hand-edit; edit the shaded input cells only.</t>
        </is>
      </c>
    </row>
    <row r="3">
      <c r="A3" s="2" t="inlineStr">
        <is>
          <t>Teaching model, not a fairness opinion: no working capital, no capex, no share-based compensation; tax at the statutory rate from year 1 with no loss shelter. Horizon: 10 explicit years plus a terminal value at year 10.</t>
        </is>
      </c>
    </row>
    <row r="5">
      <c r="A5" s="3" t="inlineStr">
        <is>
          <t>Block 1 — Inputs (the only cells to edit; shaded). Defaults: S-1 where stated, assumptions marked.</t>
        </is>
      </c>
    </row>
    <row r="6">
      <c r="A6" s="4" t="inlineStr">
        <is>
          <t>Parameter</t>
        </is>
      </c>
      <c r="B6" s="4" t="inlineStr">
        <is>
          <t>Value</t>
        </is>
      </c>
      <c r="C6" s="4" t="inlineStr">
        <is>
          <t>Unit</t>
        </is>
      </c>
      <c r="D6" s="4" t="inlineStr">
        <is>
          <t>Cell type</t>
        </is>
      </c>
      <c r="E6" s="4" t="inlineStr">
        <is>
          <t>Source / derivation</t>
        </is>
      </c>
      <c r="F6" s="4" t="inlineStr">
        <is>
          <t>Key</t>
        </is>
      </c>
    </row>
    <row r="7">
      <c r="A7" s="2" t="inlineStr">
        <is>
          <t>Per-ring and per-member economics (S-1)</t>
        </is>
      </c>
    </row>
    <row r="8">
      <c r="A8" t="inlineStr">
        <is>
          <t>Hardware revenue per ring</t>
        </is>
      </c>
      <c r="B8" s="5" t="n">
        <v>314</v>
      </c>
      <c r="C8" t="inlineStr">
        <is>
          <t>$</t>
        </is>
      </c>
      <c r="D8" t="inlineStr">
        <is>
          <t>input · S-1 derived</t>
        </is>
      </c>
      <c r="E8" s="6" t="inlineStr">
        <is>
          <t>$974.0M hardware revenue / 3.1M Rings Sold, nine months to Jun 30 2026 (income statement; Key Operating Metrics)</t>
        </is>
      </c>
      <c r="F8" s="2" t="inlineStr">
        <is>
          <t>hw_rev_per_ring</t>
        </is>
      </c>
    </row>
    <row r="9">
      <c r="A9" t="inlineStr">
        <is>
          <t>Hardware gross margin</t>
        </is>
      </c>
      <c r="B9" s="7" t="n">
        <v>0.46</v>
      </c>
      <c r="C9" t="inlineStr">
        <is>
          <t>fraction</t>
        </is>
      </c>
      <c r="D9" t="inlineStr">
        <is>
          <t>input · S-1 derived</t>
        </is>
      </c>
      <c r="E9" s="6" t="inlineStr">
        <is>
          <t>(gross profit $662.2M - membership revenue $240.5M x 0.89) / hardware revenue $974.0M</t>
        </is>
      </c>
      <c r="F9" s="2" t="inlineStr">
        <is>
          <t>hw_gm</t>
        </is>
      </c>
    </row>
    <row r="10">
      <c r="A10" t="inlineStr">
        <is>
          <t>Membership revenue per paid member per year</t>
        </is>
      </c>
      <c r="B10" s="5" t="n">
        <v>78</v>
      </c>
      <c r="C10" t="inlineStr">
        <is>
          <t>$/yr</t>
        </is>
      </c>
      <c r="D10" t="inlineStr">
        <is>
          <t>input · S-1 derived</t>
        </is>
      </c>
      <c r="E10" s="6" t="inlineStr">
        <is>
          <t>Quarterly membership revenue $65.1M / $82.5M / $92.9M over average Paid Members per quarter (2.9M -&gt; 3.4M -&gt; 4.6M -&gt; 5.0M), annualized; list price $69.99/yr or $5.99/mo (US)</t>
        </is>
      </c>
      <c r="F10" s="2" t="inlineStr">
        <is>
          <t>mem_arpu</t>
        </is>
      </c>
    </row>
    <row r="11">
      <c r="A11" t="inlineStr">
        <is>
          <t>Membership gross margin</t>
        </is>
      </c>
      <c r="B11" s="7" t="n">
        <v>0.89</v>
      </c>
      <c r="C11" t="inlineStr">
        <is>
          <t>fraction</t>
        </is>
      </c>
      <c r="D11" t="inlineStr">
        <is>
          <t>input · S-1 stated</t>
        </is>
      </c>
      <c r="E11" s="6" t="inlineStr">
        <is>
          <t>Stated: membership gross margins equaling 89% for the nine months ended June 30, 2026</t>
        </is>
      </c>
      <c r="F11" s="2" t="inlineStr">
        <is>
          <t>mem_gm</t>
        </is>
      </c>
    </row>
    <row r="12">
      <c r="A12" t="inlineStr">
        <is>
          <t>Activation to paid conversion</t>
        </is>
      </c>
      <c r="B12" s="7" t="n">
        <v>0.9399999999999999</v>
      </c>
      <c r="C12" t="inlineStr">
        <is>
          <t>fraction</t>
        </is>
      </c>
      <c r="D12" t="inlineStr">
        <is>
          <t>input · S-1 stated</t>
        </is>
      </c>
      <c r="E12" s="6" t="inlineStr">
        <is>
          <t>Stated: approximately 94% of activations convert to a paid membership</t>
        </is>
      </c>
      <c r="F12" s="2" t="inlineStr">
        <is>
          <t>conv</t>
        </is>
      </c>
    </row>
    <row r="13">
      <c r="A13" t="inlineStr">
        <is>
          <t>Repeat purchases as a share of Rings Sold</t>
        </is>
      </c>
      <c r="B13" s="7" t="n">
        <v>0.11</v>
      </c>
      <c r="C13" t="inlineStr">
        <is>
          <t>fraction</t>
        </is>
      </c>
      <c r="D13" t="inlineStr">
        <is>
          <t>input · S-1 stated</t>
        </is>
      </c>
      <c r="E13" s="6" t="inlineStr">
        <is>
          <t>S-1 stated: 'Repeat purchases accounted for 11% of Rings Sold for the nine months ended June 30, 2026' (9% in fiscal 2025, 5% in fiscal 2024). Repeat buyers are already members: new paid members = rings x (1 - repeat share) x conversion; hardware contribution stays on all rings.</t>
        </is>
      </c>
      <c r="F13" s="2" t="inlineStr">
        <is>
          <t>repeat_share</t>
        </is>
      </c>
    </row>
    <row r="14">
      <c r="A14" t="inlineStr">
        <is>
          <t>12-month paid-member retention</t>
        </is>
      </c>
      <c r="B14" s="7" t="n">
        <v>0.85</v>
      </c>
      <c r="C14" t="inlineStr">
        <is>
          <t>fraction</t>
        </is>
      </c>
      <c r="D14" t="inlineStr">
        <is>
          <t>input · S-1 stated</t>
        </is>
      </c>
      <c r="E14" s="6" t="inlineStr">
        <is>
          <t>Stated: Weighted-Average 12-Month Paid Member Retention approx. 85% as of Jun 30 2026, inclusive of winbacks. No 24- or 36-month figure is disclosed.</t>
        </is>
      </c>
      <c r="F14" s="2" t="inlineStr">
        <is>
          <t>retention_12m</t>
        </is>
      </c>
    </row>
    <row r="15">
      <c r="A15" t="inlineStr">
        <is>
          <t>Sales &amp; marketing per ring sold</t>
        </is>
      </c>
      <c r="B15" s="5" t="n">
        <v>83</v>
      </c>
      <c r="C15" t="inlineStr">
        <is>
          <t>$</t>
        </is>
      </c>
      <c r="D15" t="inlineStr">
        <is>
          <t>input · S-1 derived</t>
        </is>
      </c>
      <c r="E15" s="6" t="inlineStr">
        <is>
          <t>$257.9M sales &amp; marketing / 3.1M rings, nine months; approx. 40% of members acquired organically</t>
        </is>
      </c>
      <c r="F15" s="2" t="inlineStr">
        <is>
          <t>cac_per_ring</t>
        </is>
      </c>
    </row>
    <row r="16">
      <c r="A16" s="2" t="inlineStr">
        <is>
          <t>Company scale and cost base (S-1)</t>
        </is>
      </c>
    </row>
    <row r="17">
      <c r="A17" t="inlineStr">
        <is>
          <t>Rings sold, trailing twelve months</t>
        </is>
      </c>
      <c r="B17" s="8" t="n">
        <v>3.6</v>
      </c>
      <c r="C17" t="inlineStr">
        <is>
          <t>M rings/yr</t>
        </is>
      </c>
      <c r="D17" t="inlineStr">
        <is>
          <t>input · S-1 derived</t>
        </is>
      </c>
      <c r="E17" s="6" t="inlineStr">
        <is>
          <t>S-1: 3.6 million Rings Sold in the twelve months to Jun 30 2026 (quarterly table 1.0 + 0.8 + 1.4 + 0.5 = 3.7M; the filing's own rounded figure is 3.6M). The nine-month figure annualized would be 4.13M, which double-weights the holiday quarter. Growth applies from year 1.</t>
        </is>
      </c>
      <c r="F17" s="2" t="inlineStr">
        <is>
          <t>rings_per_year</t>
        </is>
      </c>
    </row>
    <row r="18">
      <c r="A18" t="inlineStr">
        <is>
          <t>Paid Members at Jun 30 2026</t>
        </is>
      </c>
      <c r="B18" s="8" t="n">
        <v>5</v>
      </c>
      <c r="C18" t="inlineStr">
        <is>
          <t>M</t>
        </is>
      </c>
      <c r="D18" t="inlineStr">
        <is>
          <t>input · S-1 stated</t>
        </is>
      </c>
      <c r="E18" s="6" t="inlineStr">
        <is>
          <t>Stated: 5.0 million Paid Members as of June 30, 2026</t>
        </is>
      </c>
      <c r="F18" s="2" t="inlineStr">
        <is>
          <t>members0</t>
        </is>
      </c>
    </row>
    <row r="19">
      <c r="A19" t="inlineStr">
        <is>
          <t>Fixed operating costs (R&amp;D + G&amp;A), annualized</t>
        </is>
      </c>
      <c r="B19" s="9" t="n">
        <v>444</v>
      </c>
      <c r="C19" t="inlineStr">
        <is>
          <t>$M/yr</t>
        </is>
      </c>
      <c r="D19" t="inlineStr">
        <is>
          <t>input · S-1 derived</t>
        </is>
      </c>
      <c r="E19" s="6" t="inlineStr">
        <is>
          <t>(R&amp;D $206.8M + G&amp;A $126.3M) / 0.75, nine months to Jun 30 2026</t>
        </is>
      </c>
      <c r="F19" s="2" t="inlineStr">
        <is>
          <t>fixed_costs</t>
        </is>
      </c>
    </row>
    <row r="20">
      <c r="A20" t="inlineStr">
        <is>
          <t>Net debt at Jun 30 2026</t>
        </is>
      </c>
      <c r="B20" s="9" t="n">
        <v>8.300000000000001</v>
      </c>
      <c r="C20" t="inlineStr">
        <is>
          <t>$M</t>
        </is>
      </c>
      <c r="D20" t="inlineStr">
        <is>
          <t>input · S-1 derived</t>
        </is>
      </c>
      <c r="E20" s="6" t="inlineStr">
        <is>
          <t>Total debt $380.1M - cash and cash equivalents $371.8M (balance sheet, Jun 30 2026)</t>
        </is>
      </c>
      <c r="F20" s="2" t="inlineStr">
        <is>
          <t>net_debt</t>
        </is>
      </c>
    </row>
    <row r="21">
      <c r="A21" t="inlineStr">
        <is>
          <t>Trailing-twelve-month revenue to Jun 30 2026</t>
        </is>
      </c>
      <c r="B21" s="9" t="n">
        <v>1424.8</v>
      </c>
      <c r="C21" t="inlineStr">
        <is>
          <t>$M</t>
        </is>
      </c>
      <c r="D21" t="inlineStr">
        <is>
          <t>input · S-1 derived</t>
        </is>
      </c>
      <c r="E21" s="6" t="inlineStr">
        <is>
          <t>Quarterly revenue table: 408.7 + 354.8 + 451.0 + 210.3</t>
        </is>
      </c>
      <c r="F21" s="2" t="inlineStr">
        <is>
          <t>ttm_revenue</t>
        </is>
      </c>
    </row>
    <row r="22">
      <c r="A22" s="2" t="inlineStr">
        <is>
          <t>Valuation assumptions (not in the S-1)</t>
        </is>
      </c>
    </row>
    <row r="23">
      <c r="A23" t="inlineStr">
        <is>
          <t>Tax rate</t>
        </is>
      </c>
      <c r="B23" s="7" t="n">
        <v>0.25</v>
      </c>
      <c r="C23" t="inlineStr">
        <is>
          <t>fraction</t>
        </is>
      </c>
      <c r="D23" t="inlineStr">
        <is>
          <t>input · assumption</t>
        </is>
      </c>
      <c r="E23" s="6" t="inlineStr">
        <is>
          <t>Assumption (statutory-ish); the S-1 effective rate is distorted by valuation allowances</t>
        </is>
      </c>
      <c r="F23" s="2" t="inlineStr">
        <is>
          <t>tax_rate</t>
        </is>
      </c>
    </row>
    <row r="24">
      <c r="A24" t="inlineStr">
        <is>
          <t>Discount rate (WACC)</t>
        </is>
      </c>
      <c r="B24" s="7" t="n">
        <v>0.11</v>
      </c>
      <c r="C24" t="inlineStr">
        <is>
          <t>fraction</t>
        </is>
      </c>
      <c r="D24" t="inlineStr">
        <is>
          <t>input · assumption</t>
        </is>
      </c>
      <c r="E24" s="6" t="inlineStr">
        <is>
          <t>Assumption, not in the S-1. For the reader to weigh: consumer hardware plus a subscription; the filing states no cost of capital.</t>
        </is>
      </c>
      <c r="F24" s="2" t="inlineStr">
        <is>
          <t>discount_rate</t>
        </is>
      </c>
    </row>
    <row r="25">
      <c r="A25" t="inlineStr">
        <is>
          <t>Ring-sales growth per year</t>
        </is>
      </c>
      <c r="B25" s="7" t="n">
        <v>0.25</v>
      </c>
      <c r="C25" t="inlineStr">
        <is>
          <t>fraction</t>
        </is>
      </c>
      <c r="D25" t="inlineStr">
        <is>
          <t>input · assumption</t>
        </is>
      </c>
      <c r="E25" s="6" t="inlineStr">
        <is>
          <t>THE KEY ASSUMPTION of this model, and the lever to move; not in the S-1. Set at 25%/yr for five years, which is the rate at which the model reproduces the reported IPO valuation — growth in ring sales is the pitch. For scale: Rings Sold grew 130% in fiscal 2025 and 72% in the nine months to Jun 30 2026, and revenue 74% in those nine months, so 25% assumes a sharp slowdown, not a continuation; trailing-twelve-month Rings Sold were 3.6M. The model compounds this rate from year 1.</t>
        </is>
      </c>
      <c r="F25" s="2" t="inlineStr">
        <is>
          <t>ring_growth</t>
        </is>
      </c>
    </row>
    <row r="26">
      <c r="A26" t="inlineStr">
        <is>
          <t>Years the growth rate applies</t>
        </is>
      </c>
      <c r="B26" s="8" t="n">
        <v>5</v>
      </c>
      <c r="C26" t="inlineStr">
        <is>
          <t>years</t>
        </is>
      </c>
      <c r="D26" t="inlineStr">
        <is>
          <t>input · assumption</t>
        </is>
      </c>
      <c r="E26" s="6" t="inlineStr">
        <is>
          <t>Assumption; flat thereafter</t>
        </is>
      </c>
      <c r="F26" s="2" t="inlineStr">
        <is>
          <t>growth_years</t>
        </is>
      </c>
    </row>
    <row r="27">
      <c r="A27" t="inlineStr">
        <is>
          <t>Fixed-cost growth per year during growth years</t>
        </is>
      </c>
      <c r="B27" s="7" t="n">
        <v>0.08</v>
      </c>
      <c r="C27" t="inlineStr">
        <is>
          <t>fraction</t>
        </is>
      </c>
      <c r="D27" t="inlineStr">
        <is>
          <t>input · assumption</t>
        </is>
      </c>
      <c r="E27" s="6" t="inlineStr">
        <is>
          <t>Assumption</t>
        </is>
      </c>
      <c r="F27" s="2" t="inlineStr">
        <is>
          <t>fixed_growth</t>
        </is>
      </c>
    </row>
    <row r="28">
      <c r="A28" t="inlineStr">
        <is>
          <t>Terminal growth after year 10</t>
        </is>
      </c>
      <c r="B28" s="7" t="n">
        <v>0.02</v>
      </c>
      <c r="C28" t="inlineStr">
        <is>
          <t>fraction</t>
        </is>
      </c>
      <c r="D28" t="inlineStr">
        <is>
          <t>input · assumption</t>
        </is>
      </c>
      <c r="E28" s="6" t="inlineStr">
        <is>
          <t>Assumption</t>
        </is>
      </c>
      <c r="F28" s="2" t="inlineStr">
        <is>
          <t>terminal_growth</t>
        </is>
      </c>
    </row>
    <row r="30">
      <c r="A30" s="3" t="inlineStr">
        <is>
          <t>Block 2 — Unit economics (per ring buyer)</t>
        </is>
      </c>
    </row>
    <row r="31">
      <c r="A31" s="2" t="inlineStr">
        <is>
          <t>Legend: formulas reference the input cells in column B of Block 1 by address (e.g. $B$13); the key for each input is in column F of the same row, and each input also carries a defined name with that key.</t>
        </is>
      </c>
    </row>
    <row r="32">
      <c r="A32" s="4" t="inlineStr">
        <is>
          <t>Row</t>
        </is>
      </c>
      <c r="B32" s="4" t="inlineStr">
        <is>
          <t>Value</t>
        </is>
      </c>
      <c r="C32" s="4" t="inlineStr">
        <is>
          <t>Unit</t>
        </is>
      </c>
      <c r="D32" s="4" t="inlineStr">
        <is>
          <t>Formula (plain words)</t>
        </is>
      </c>
    </row>
    <row r="33">
      <c r="A33" t="inlineStr">
        <is>
          <t>Hardware gross profit per ring</t>
        </is>
      </c>
      <c r="B33" s="10">
        <f>Model!$B$8*Model!$B$9</f>
        <v/>
      </c>
      <c r="C33" t="inlineStr">
        <is>
          <t>$</t>
        </is>
      </c>
      <c r="D33" s="6" t="inlineStr">
        <is>
          <t>hardware revenue per ring x hardware gross margin</t>
        </is>
      </c>
    </row>
    <row r="34">
      <c r="A34" t="inlineStr">
        <is>
          <t>Contribution at the till</t>
        </is>
      </c>
      <c r="B34" s="10">
        <f>$B$33-Model!$B$15</f>
        <v/>
      </c>
      <c r="C34" t="inlineStr">
        <is>
          <t>$</t>
        </is>
      </c>
      <c r="D34" s="6" t="inlineStr">
        <is>
          <t>hardware gross profit per ring - sales &amp; marketing per ring</t>
        </is>
      </c>
    </row>
    <row r="35">
      <c r="A35" t="inlineStr">
        <is>
          <t>Membership gross profit per member-year</t>
        </is>
      </c>
      <c r="B35" s="10">
        <f>Model!$B$10*Model!$B$11</f>
        <v/>
      </c>
      <c r="C35" t="inlineStr">
        <is>
          <t>$</t>
        </is>
      </c>
      <c r="D35" s="6" t="inlineStr">
        <is>
          <t>membership revenue per member per year x membership gross margin</t>
        </is>
      </c>
    </row>
    <row r="36">
      <c r="A36" t="inlineStr">
        <is>
          <t>Expected life of a paid membership</t>
        </is>
      </c>
      <c r="B36" s="11">
        <f>IF(Model!$B$14&gt;=1,"∞ (no churn)",IF(Model!$B$14&lt;=0,0,1/(1-Model!$B$14)))</f>
        <v/>
      </c>
      <c r="C36" t="inlineStr">
        <is>
          <t>years</t>
        </is>
      </c>
      <c r="D36" s="6" t="inlineStr">
        <is>
          <t>1 / (1 - 12-month retention); ∞ when retention = 1; 0 when retention = 0</t>
        </is>
      </c>
    </row>
    <row r="37">
      <c r="A37" t="inlineStr">
        <is>
          <t>Lifetime value, undiscounted</t>
        </is>
      </c>
      <c r="B37" s="10">
        <f>IF(Model!$B$14&gt;=1,"unbounded (no churn)",$B$34+($B$35*Model!$B$12)*$B$36)</f>
        <v/>
      </c>
      <c r="C37" t="inlineStr">
        <is>
          <t>$</t>
        </is>
      </c>
      <c r="D37" s="6" t="inlineStr">
        <is>
          <t>contribution at the till + membership GP per member-year x activation-to-paid conversion x expected life</t>
        </is>
      </c>
    </row>
    <row r="38">
      <c r="A38" t="inlineStr">
        <is>
          <t>Helper: discounted retention ratio</t>
        </is>
      </c>
      <c r="B38" s="12">
        <f>IF(Model!$B$14&lt;=0,0,Model!$B$14/(1+Model!$B$24))</f>
        <v/>
      </c>
      <c r="C38" t="inlineStr">
        <is>
          <t>x</t>
        </is>
      </c>
      <c r="D38" s="6" t="inlineStr">
        <is>
          <t>retention / (1 + discount rate); helper cell for the lifetime-value and payback formulas (not shown on the page); 0 when retention = 0</t>
        </is>
      </c>
    </row>
    <row r="39">
      <c r="A39" t="inlineStr">
        <is>
          <t>Lifetime value, discounted</t>
        </is>
      </c>
      <c r="B39" s="10">
        <f>IF(Model!$B$14&lt;=0,$B$34,IF($B$38&gt;=1,"unbounded (no churn, no discounting)",$B$34+($B$35*Model!$B$12)/(1-$B$38)))</f>
        <v/>
      </c>
      <c r="C39" t="inlineStr">
        <is>
          <t>$</t>
        </is>
      </c>
      <c r="D39" s="6" t="inlineStr">
        <is>
          <t>contribution at the till + membership GP per member-year x conversion / (1 - retention / (1 + discount rate)); geometric series, first year undiscounted; unbounded when retention = 1 with discount rate = 0</t>
        </is>
      </c>
    </row>
    <row r="40">
      <c r="A40" t="inlineStr">
        <is>
          <t>Payback</t>
        </is>
      </c>
      <c r="B40" s="13">
        <f>IF($B$34&gt;=0,"at the till",IF(OR(Model!$B$14&lt;=0,($B$35*Model!$B$12)&lt;=0),"never (no membership stream)",IF($B$38&gt;=1,"year "&amp;(INT(-$B$34/($B$35*Model!$B$12))+1)&amp;" of membership",IF((1+$B$34*(1-$B$38)/($B$35*Model!$B$12))&lt;=0,"never (stream never repays the till loss)","year "&amp;(INT(LN((1+$B$34*(1-$B$38)/($B$35*Model!$B$12)))/LN($B$38))+1)&amp;" of membership"))))</f>
        <v/>
      </c>
      <c r="C40" t="inlineStr">
        <is>
          <t>text</t>
        </is>
      </c>
      <c r="D40" s="6" t="inlineStr">
        <is>
          <t>"at the till" when contribution &gt;= 0; otherwise the membership year in which the cumulative discounted stream turns positive (closed form using the discounted retention ratio)</t>
        </is>
      </c>
    </row>
    <row r="42">
      <c r="A42" s="3" t="inlineStr">
        <is>
          <t>Lifetime value, discounted, by 12-month retention (LIVE; axis cells editable). Contribution, membership GP and discount rate as in the inputs.</t>
        </is>
      </c>
    </row>
    <row r="43">
      <c r="A43" s="3" t="inlineStr">
        <is>
          <t>retention →</t>
        </is>
      </c>
      <c r="B43" s="14" t="n">
        <v>0.7</v>
      </c>
      <c r="C43" s="14" t="n">
        <v>0.75</v>
      </c>
      <c r="D43" s="14" t="n">
        <v>0.8</v>
      </c>
      <c r="E43" s="14" t="n">
        <v>0.85</v>
      </c>
      <c r="F43" s="14" t="n">
        <v>0.9</v>
      </c>
      <c r="G43" s="14" t="n">
        <v>0.95</v>
      </c>
    </row>
    <row r="44">
      <c r="A44" t="inlineStr">
        <is>
          <t>Lifetime value, discounted ($)</t>
        </is>
      </c>
      <c r="B44" s="10">
        <f>IF($B$43&lt;=0,$B$34,IF($B$43/(1+Model!$B$24)&gt;=1,"unbounded (no churn, no discounting)",$B$34+($B$35*Model!$B$12)/(1-$B$43/(1+Model!$B$24))))</f>
        <v/>
      </c>
      <c r="C44" s="10">
        <f>IF($C$43&lt;=0,$B$34,IF($C$43/(1+Model!$B$24)&gt;=1,"unbounded (no churn, no discounting)",$B$34+($B$35*Model!$B$12)/(1-$C$43/(1+Model!$B$24))))</f>
        <v/>
      </c>
      <c r="D44" s="10">
        <f>IF($D$43&lt;=0,$B$34,IF($D$43/(1+Model!$B$24)&gt;=1,"unbounded (no churn, no discounting)",$B$34+($B$35*Model!$B$12)/(1-$D$43/(1+Model!$B$24))))</f>
        <v/>
      </c>
      <c r="E44" s="10">
        <f>IF($E$43&lt;=0,$B$34,IF($E$43/(1+Model!$B$24)&gt;=1,"unbounded (no churn, no discounting)",$B$34+($B$35*Model!$B$12)/(1-$E$43/(1+Model!$B$24))))</f>
        <v/>
      </c>
      <c r="F44" s="10">
        <f>IF($F$43&lt;=0,$B$34,IF($F$43/(1+Model!$B$24)&gt;=1,"unbounded (no churn, no discounting)",$B$34+($B$35*Model!$B$12)/(1-$F$43/(1+Model!$B$24))))</f>
        <v/>
      </c>
      <c r="G44" s="10">
        <f>IF($G$43&lt;=0,$B$34,IF($G$43/(1+Model!$B$24)&gt;=1,"unbounded (no churn, no discounting)",$B$34+($B$35*Model!$B$12)/(1-$G$43/(1+Model!$B$24))))</f>
        <v/>
      </c>
    </row>
    <row r="46">
      <c r="A46" s="3" t="inlineStr">
        <is>
          <t>Block 3 — Company value: 10-year cohort grid ($M unless stated). Year 1 = Jul 2026 - Jun 2027.</t>
        </is>
      </c>
    </row>
    <row r="47">
      <c r="A47" s="3" t="inlineStr">
        <is>
          <t>Year</t>
        </is>
      </c>
      <c r="B47" s="3" t="inlineStr">
        <is>
          <t>Unit</t>
        </is>
      </c>
      <c r="C47" s="15" t="n">
        <v>1</v>
      </c>
      <c r="D47" s="15" t="n">
        <v>2</v>
      </c>
      <c r="E47" s="15" t="n">
        <v>3</v>
      </c>
      <c r="F47" s="15" t="n">
        <v>4</v>
      </c>
      <c r="G47" s="15" t="n">
        <v>5</v>
      </c>
      <c r="H47" s="15" t="n">
        <v>6</v>
      </c>
      <c r="I47" s="15" t="n">
        <v>7</v>
      </c>
      <c r="J47" s="15" t="n">
        <v>8</v>
      </c>
      <c r="K47" s="15" t="n">
        <v>9</v>
      </c>
      <c r="L47" s="15" t="n">
        <v>10</v>
      </c>
      <c r="M47" s="3" t="inlineStr">
        <is>
          <t>Terminal</t>
        </is>
      </c>
      <c r="N47" s="3" t="inlineStr">
        <is>
          <t>Total</t>
        </is>
      </c>
      <c r="O47" s="3" t="inlineStr">
        <is>
          <t>Formula (plain words)</t>
        </is>
      </c>
    </row>
    <row r="48">
      <c r="A48" t="inlineStr">
        <is>
          <t>Rings sold</t>
        </is>
      </c>
      <c r="B48" t="inlineStr">
        <is>
          <t>M</t>
        </is>
      </c>
      <c r="C48" s="16">
        <f>Model!$B$17*(1+Model!$B$25)^MIN(C$47,Model!$B$26)</f>
        <v/>
      </c>
      <c r="D48" s="16">
        <f>Model!$B$17*(1+Model!$B$25)^MIN(D$47,Model!$B$26)</f>
        <v/>
      </c>
      <c r="E48" s="16">
        <f>Model!$B$17*(1+Model!$B$25)^MIN(E$47,Model!$B$26)</f>
        <v/>
      </c>
      <c r="F48" s="16">
        <f>Model!$B$17*(1+Model!$B$25)^MIN(F$47,Model!$B$26)</f>
        <v/>
      </c>
      <c r="G48" s="16">
        <f>Model!$B$17*(1+Model!$B$25)^MIN(G$47,Model!$B$26)</f>
        <v/>
      </c>
      <c r="H48" s="16">
        <f>Model!$B$17*(1+Model!$B$25)^MIN(H$47,Model!$B$26)</f>
        <v/>
      </c>
      <c r="I48" s="16">
        <f>Model!$B$17*(1+Model!$B$25)^MIN(I$47,Model!$B$26)</f>
        <v/>
      </c>
      <c r="J48" s="16">
        <f>Model!$B$17*(1+Model!$B$25)^MIN(J$47,Model!$B$26)</f>
        <v/>
      </c>
      <c r="K48" s="16">
        <f>Model!$B$17*(1+Model!$B$25)^MIN(K$47,Model!$B$26)</f>
        <v/>
      </c>
      <c r="L48" s="16">
        <f>Model!$B$17*(1+Model!$B$25)^MIN(L$47,Model!$B$26)</f>
        <v/>
      </c>
      <c r="N48" s="17">
        <f>SUM(C48:L48)</f>
        <v/>
      </c>
      <c r="O48" s="6" t="inlineStr">
        <is>
          <t>trailing-twelve-month rings x (1 + ring growth) ^ min(year, growth years); year 1 is a forward year</t>
        </is>
      </c>
    </row>
    <row r="49">
      <c r="A49" t="inlineStr">
        <is>
          <t>New paid members</t>
        </is>
      </c>
      <c r="B49" t="inlineStr">
        <is>
          <t>M</t>
        </is>
      </c>
      <c r="C49" s="16">
        <f>C48*(1-Model!$B$13)*Model!$B$12</f>
        <v/>
      </c>
      <c r="D49" s="16">
        <f>D48*(1-Model!$B$13)*Model!$B$12</f>
        <v/>
      </c>
      <c r="E49" s="16">
        <f>E48*(1-Model!$B$13)*Model!$B$12</f>
        <v/>
      </c>
      <c r="F49" s="16">
        <f>F48*(1-Model!$B$13)*Model!$B$12</f>
        <v/>
      </c>
      <c r="G49" s="16">
        <f>G48*(1-Model!$B$13)*Model!$B$12</f>
        <v/>
      </c>
      <c r="H49" s="16">
        <f>H48*(1-Model!$B$13)*Model!$B$12</f>
        <v/>
      </c>
      <c r="I49" s="16">
        <f>I48*(1-Model!$B$13)*Model!$B$12</f>
        <v/>
      </c>
      <c r="J49" s="16">
        <f>J48*(1-Model!$B$13)*Model!$B$12</f>
        <v/>
      </c>
      <c r="K49" s="16">
        <f>K48*(1-Model!$B$13)*Model!$B$12</f>
        <v/>
      </c>
      <c r="L49" s="16">
        <f>L48*(1-Model!$B$13)*Model!$B$12</f>
        <v/>
      </c>
      <c r="N49" s="17">
        <f>SUM(C49:L49)</f>
        <v/>
      </c>
      <c r="O49" s="6" t="inlineStr">
        <is>
          <t>rings sold x (1 - repeat share) x activation-to-paid conversion; repeat buyers are already members</t>
        </is>
      </c>
    </row>
    <row r="50">
      <c r="A50" t="inlineStr">
        <is>
          <t>Paid members</t>
        </is>
      </c>
      <c r="B50" t="inlineStr">
        <is>
          <t>M</t>
        </is>
      </c>
      <c r="C50" s="16">
        <f>Model!$B$18*Model!$B$14+C49</f>
        <v/>
      </c>
      <c r="D50" s="16">
        <f>C50*Model!$B$14+D49</f>
        <v/>
      </c>
      <c r="E50" s="16">
        <f>D50*Model!$B$14+E49</f>
        <v/>
      </c>
      <c r="F50" s="16">
        <f>E50*Model!$B$14+F49</f>
        <v/>
      </c>
      <c r="G50" s="16">
        <f>F50*Model!$B$14+G49</f>
        <v/>
      </c>
      <c r="H50" s="16">
        <f>G50*Model!$B$14+H49</f>
        <v/>
      </c>
      <c r="I50" s="16">
        <f>H50*Model!$B$14+I49</f>
        <v/>
      </c>
      <c r="J50" s="16">
        <f>I50*Model!$B$14+J49</f>
        <v/>
      </c>
      <c r="K50" s="16">
        <f>J50*Model!$B$14+K49</f>
        <v/>
      </c>
      <c r="L50" s="16">
        <f>K50*Model!$B$14+L49</f>
        <v/>
      </c>
      <c r="O50" s="6" t="inlineStr">
        <is>
          <t>previous year members x retention + this year new members, starting from Paid Members at Jun 30 2026 (each cohort gets a full year in its acquisition year)</t>
        </is>
      </c>
    </row>
    <row r="51">
      <c r="A51" t="inlineStr">
        <is>
          <t>Revenue (hardware + membership)</t>
        </is>
      </c>
      <c r="B51" t="inlineStr">
        <is>
          <t>$M</t>
        </is>
      </c>
      <c r="C51" s="18">
        <f>C48*Model!$B$8+C50*IF(Model!$B$14&gt;0,1,0)*Model!$B$10</f>
        <v/>
      </c>
      <c r="D51" s="18">
        <f>D48*Model!$B$8+D50*IF(Model!$B$14&gt;0,1,0)*Model!$B$10</f>
        <v/>
      </c>
      <c r="E51" s="18">
        <f>E48*Model!$B$8+E50*IF(Model!$B$14&gt;0,1,0)*Model!$B$10</f>
        <v/>
      </c>
      <c r="F51" s="18">
        <f>F48*Model!$B$8+F50*IF(Model!$B$14&gt;0,1,0)*Model!$B$10</f>
        <v/>
      </c>
      <c r="G51" s="18">
        <f>G48*Model!$B$8+G50*IF(Model!$B$14&gt;0,1,0)*Model!$B$10</f>
        <v/>
      </c>
      <c r="H51" s="18">
        <f>H48*Model!$B$8+H50*IF(Model!$B$14&gt;0,1,0)*Model!$B$10</f>
        <v/>
      </c>
      <c r="I51" s="18">
        <f>I48*Model!$B$8+I50*IF(Model!$B$14&gt;0,1,0)*Model!$B$10</f>
        <v/>
      </c>
      <c r="J51" s="18">
        <f>J48*Model!$B$8+J50*IF(Model!$B$14&gt;0,1,0)*Model!$B$10</f>
        <v/>
      </c>
      <c r="K51" s="18">
        <f>K48*Model!$B$8+K50*IF(Model!$B$14&gt;0,1,0)*Model!$B$10</f>
        <v/>
      </c>
      <c r="L51" s="18">
        <f>L48*Model!$B$8+L50*IF(Model!$B$14&gt;0,1,0)*Model!$B$10</f>
        <v/>
      </c>
      <c r="N51" s="19">
        <f>SUM(C51:L51)</f>
        <v/>
      </c>
      <c r="O51" s="6" t="inlineStr">
        <is>
          <t>rings sold x hardware revenue per ring + paid members x membership revenue per member; membership part zero when retention = 0</t>
        </is>
      </c>
    </row>
    <row r="52">
      <c r="A52" t="inlineStr">
        <is>
          <t>Membership gross profit</t>
        </is>
      </c>
      <c r="B52" t="inlineStr">
        <is>
          <t>$M</t>
        </is>
      </c>
      <c r="C52" s="18">
        <f>C50*IF(Model!$B$14&gt;0,1,0)*Model!$B$10*Model!$B$11</f>
        <v/>
      </c>
      <c r="D52" s="18">
        <f>D50*IF(Model!$B$14&gt;0,1,0)*Model!$B$10*Model!$B$11</f>
        <v/>
      </c>
      <c r="E52" s="18">
        <f>E50*IF(Model!$B$14&gt;0,1,0)*Model!$B$10*Model!$B$11</f>
        <v/>
      </c>
      <c r="F52" s="18">
        <f>F50*IF(Model!$B$14&gt;0,1,0)*Model!$B$10*Model!$B$11</f>
        <v/>
      </c>
      <c r="G52" s="18">
        <f>G50*IF(Model!$B$14&gt;0,1,0)*Model!$B$10*Model!$B$11</f>
        <v/>
      </c>
      <c r="H52" s="18">
        <f>H50*IF(Model!$B$14&gt;0,1,0)*Model!$B$10*Model!$B$11</f>
        <v/>
      </c>
      <c r="I52" s="18">
        <f>I50*IF(Model!$B$14&gt;0,1,0)*Model!$B$10*Model!$B$11</f>
        <v/>
      </c>
      <c r="J52" s="18">
        <f>J50*IF(Model!$B$14&gt;0,1,0)*Model!$B$10*Model!$B$11</f>
        <v/>
      </c>
      <c r="K52" s="18">
        <f>K50*IF(Model!$B$14&gt;0,1,0)*Model!$B$10*Model!$B$11</f>
        <v/>
      </c>
      <c r="L52" s="18">
        <f>L50*IF(Model!$B$14&gt;0,1,0)*Model!$B$10*Model!$B$11</f>
        <v/>
      </c>
      <c r="N52" s="19">
        <f>SUM(C52:L52)</f>
        <v/>
      </c>
      <c r="O52" s="6" t="inlineStr">
        <is>
          <t>paid members x membership revenue per member x membership gross margin; zero when retention = 0</t>
        </is>
      </c>
    </row>
    <row r="53">
      <c r="A53" t="inlineStr">
        <is>
          <t>Hardware contribution</t>
        </is>
      </c>
      <c r="B53" t="inlineStr">
        <is>
          <t>$M</t>
        </is>
      </c>
      <c r="C53" s="18">
        <f>C48*Model!$B$34</f>
        <v/>
      </c>
      <c r="D53" s="18">
        <f>D48*Model!$B$34</f>
        <v/>
      </c>
      <c r="E53" s="18">
        <f>E48*Model!$B$34</f>
        <v/>
      </c>
      <c r="F53" s="18">
        <f>F48*Model!$B$34</f>
        <v/>
      </c>
      <c r="G53" s="18">
        <f>G48*Model!$B$34</f>
        <v/>
      </c>
      <c r="H53" s="18">
        <f>H48*Model!$B$34</f>
        <v/>
      </c>
      <c r="I53" s="18">
        <f>I48*Model!$B$34</f>
        <v/>
      </c>
      <c r="J53" s="18">
        <f>J48*Model!$B$34</f>
        <v/>
      </c>
      <c r="K53" s="18">
        <f>K48*Model!$B$34</f>
        <v/>
      </c>
      <c r="L53" s="18">
        <f>L48*Model!$B$34</f>
        <v/>
      </c>
      <c r="N53" s="19">
        <f>SUM(C53:L53)</f>
        <v/>
      </c>
      <c r="O53" s="6" t="inlineStr">
        <is>
          <t>rings sold x (hardware gross profit per ring - sales &amp; marketing per ring); all rings, repeat purchases included</t>
        </is>
      </c>
    </row>
    <row r="54">
      <c r="A54" t="inlineStr">
        <is>
          <t>Fixed costs (R&amp;D + G&amp;A)</t>
        </is>
      </c>
      <c r="B54" t="inlineStr">
        <is>
          <t>$M</t>
        </is>
      </c>
      <c r="C54" s="18">
        <f>Model!$B$19*(1+Model!$B$27)^MIN(C$47,Model!$B$26)</f>
        <v/>
      </c>
      <c r="D54" s="18">
        <f>Model!$B$19*(1+Model!$B$27)^MIN(D$47,Model!$B$26)</f>
        <v/>
      </c>
      <c r="E54" s="18">
        <f>Model!$B$19*(1+Model!$B$27)^MIN(E$47,Model!$B$26)</f>
        <v/>
      </c>
      <c r="F54" s="18">
        <f>Model!$B$19*(1+Model!$B$27)^MIN(F$47,Model!$B$26)</f>
        <v/>
      </c>
      <c r="G54" s="18">
        <f>Model!$B$19*(1+Model!$B$27)^MIN(G$47,Model!$B$26)</f>
        <v/>
      </c>
      <c r="H54" s="18">
        <f>Model!$B$19*(1+Model!$B$27)^MIN(H$47,Model!$B$26)</f>
        <v/>
      </c>
      <c r="I54" s="18">
        <f>Model!$B$19*(1+Model!$B$27)^MIN(I$47,Model!$B$26)</f>
        <v/>
      </c>
      <c r="J54" s="18">
        <f>Model!$B$19*(1+Model!$B$27)^MIN(J$47,Model!$B$26)</f>
        <v/>
      </c>
      <c r="K54" s="18">
        <f>Model!$B$19*(1+Model!$B$27)^MIN(K$47,Model!$B$26)</f>
        <v/>
      </c>
      <c r="L54" s="18">
        <f>Model!$B$19*(1+Model!$B$27)^MIN(L$47,Model!$B$26)</f>
        <v/>
      </c>
      <c r="N54" s="19">
        <f>SUM(C54:L54)</f>
        <v/>
      </c>
      <c r="O54" s="6" t="inlineStr">
        <is>
          <t>annualized fixed costs x (1 + fixed-cost growth) ^ min(year, growth years)</t>
        </is>
      </c>
    </row>
    <row r="55">
      <c r="A55" t="inlineStr">
        <is>
          <t>Operating profit  ⚠ full-year membership credit in every cohort's acquisition year (see the year-one flag on the web page); reported nine-month income from operations was $71.2M</t>
        </is>
      </c>
      <c r="B55" t="inlineStr">
        <is>
          <t>$M</t>
        </is>
      </c>
      <c r="C55" s="18">
        <f>C52+C53-C54</f>
        <v/>
      </c>
      <c r="D55" s="18">
        <f>D52+D53-D54</f>
        <v/>
      </c>
      <c r="E55" s="18">
        <f>E52+E53-E54</f>
        <v/>
      </c>
      <c r="F55" s="18">
        <f>F52+F53-F54</f>
        <v/>
      </c>
      <c r="G55" s="18">
        <f>G52+G53-G54</f>
        <v/>
      </c>
      <c r="H55" s="18">
        <f>H52+H53-H54</f>
        <v/>
      </c>
      <c r="I55" s="18">
        <f>I52+I53-I54</f>
        <v/>
      </c>
      <c r="J55" s="18">
        <f>J52+J53-J54</f>
        <v/>
      </c>
      <c r="K55" s="18">
        <f>K52+K53-K54</f>
        <v/>
      </c>
      <c r="L55" s="18">
        <f>L52+L53-L54</f>
        <v/>
      </c>
      <c r="N55" s="19">
        <f>SUM(C55:L55)</f>
        <v/>
      </c>
      <c r="O55" s="6" t="inlineStr">
        <is>
          <t>membership gross profit + hardware contribution - fixed costs</t>
        </is>
      </c>
    </row>
    <row r="56">
      <c r="A56" t="inlineStr">
        <is>
          <t>Operating margin</t>
        </is>
      </c>
      <c r="B56" t="inlineStr">
        <is>
          <t>fraction</t>
        </is>
      </c>
      <c r="C56" s="20">
        <f>IF(C51=0,0,C55/C51)</f>
        <v/>
      </c>
      <c r="D56" s="20">
        <f>IF(D51=0,0,D55/D51)</f>
        <v/>
      </c>
      <c r="E56" s="20">
        <f>IF(E51=0,0,E55/E51)</f>
        <v/>
      </c>
      <c r="F56" s="20">
        <f>IF(F51=0,0,F55/F51)</f>
        <v/>
      </c>
      <c r="G56" s="20">
        <f>IF(G51=0,0,G55/G51)</f>
        <v/>
      </c>
      <c r="H56" s="20">
        <f>IF(H51=0,0,H55/H51)</f>
        <v/>
      </c>
      <c r="I56" s="20">
        <f>IF(I51=0,0,I55/I51)</f>
        <v/>
      </c>
      <c r="J56" s="20">
        <f>IF(J51=0,0,J55/J51)</f>
        <v/>
      </c>
      <c r="K56" s="20">
        <f>IF(K51=0,0,K55/K51)</f>
        <v/>
      </c>
      <c r="L56" s="20">
        <f>IF(L51=0,0,L55/L51)</f>
        <v/>
      </c>
      <c r="O56" s="6" t="inlineStr">
        <is>
          <t>operating profit / revenue; 0 when revenue is 0</t>
        </is>
      </c>
    </row>
    <row r="57">
      <c r="A57" t="inlineStr">
        <is>
          <t>Tax</t>
        </is>
      </c>
      <c r="B57" t="inlineStr">
        <is>
          <t>$M</t>
        </is>
      </c>
      <c r="C57" s="18">
        <f>MAX(0,C55)*Model!$B$23</f>
        <v/>
      </c>
      <c r="D57" s="18">
        <f>MAX(0,D55)*Model!$B$23</f>
        <v/>
      </c>
      <c r="E57" s="18">
        <f>MAX(0,E55)*Model!$B$23</f>
        <v/>
      </c>
      <c r="F57" s="18">
        <f>MAX(0,F55)*Model!$B$23</f>
        <v/>
      </c>
      <c r="G57" s="18">
        <f>MAX(0,G55)*Model!$B$23</f>
        <v/>
      </c>
      <c r="H57" s="18">
        <f>MAX(0,H55)*Model!$B$23</f>
        <v/>
      </c>
      <c r="I57" s="18">
        <f>MAX(0,I55)*Model!$B$23</f>
        <v/>
      </c>
      <c r="J57" s="18">
        <f>MAX(0,J55)*Model!$B$23</f>
        <v/>
      </c>
      <c r="K57" s="18">
        <f>MAX(0,K55)*Model!$B$23</f>
        <v/>
      </c>
      <c r="L57" s="18">
        <f>MAX(0,L55)*Model!$B$23</f>
        <v/>
      </c>
      <c r="N57" s="19">
        <f>SUM(C57:L57)</f>
        <v/>
      </c>
      <c r="O57" s="6" t="inlineStr">
        <is>
          <t>max(0, operating profit) x tax rate; statutory rate from year 1, no loss shelter</t>
        </is>
      </c>
    </row>
    <row r="58">
      <c r="A58" t="inlineStr">
        <is>
          <t>After-tax cash flow</t>
        </is>
      </c>
      <c r="B58" t="inlineStr">
        <is>
          <t>$M</t>
        </is>
      </c>
      <c r="C58" s="18">
        <f>C55-C57</f>
        <v/>
      </c>
      <c r="D58" s="18">
        <f>D55-D57</f>
        <v/>
      </c>
      <c r="E58" s="18">
        <f>E55-E57</f>
        <v/>
      </c>
      <c r="F58" s="18">
        <f>F55-F57</f>
        <v/>
      </c>
      <c r="G58" s="18">
        <f>G55-G57</f>
        <v/>
      </c>
      <c r="H58" s="18">
        <f>H55-H57</f>
        <v/>
      </c>
      <c r="I58" s="18">
        <f>I55-I57</f>
        <v/>
      </c>
      <c r="J58" s="18">
        <f>J55-J57</f>
        <v/>
      </c>
      <c r="K58" s="18">
        <f>K55-K57</f>
        <v/>
      </c>
      <c r="L58" s="18">
        <f>L55-L57</f>
        <v/>
      </c>
      <c r="N58" s="19">
        <f>SUM(C58:L58)</f>
        <v/>
      </c>
      <c r="O58" s="6" t="inlineStr">
        <is>
          <t>operating profit - tax (no working capital, no capex, no share-based compensation)</t>
        </is>
      </c>
    </row>
    <row r="59">
      <c r="A59" t="inlineStr">
        <is>
          <t>Present value</t>
        </is>
      </c>
      <c r="B59" t="inlineStr">
        <is>
          <t>$M</t>
        </is>
      </c>
      <c r="C59" s="18">
        <f>C58/(1+Model!$B$24)^C$47</f>
        <v/>
      </c>
      <c r="D59" s="18">
        <f>D58/(1+Model!$B$24)^D$47</f>
        <v/>
      </c>
      <c r="E59" s="18">
        <f>E58/(1+Model!$B$24)^E$47</f>
        <v/>
      </c>
      <c r="F59" s="18">
        <f>F58/(1+Model!$B$24)^F$47</f>
        <v/>
      </c>
      <c r="G59" s="18">
        <f>G58/(1+Model!$B$24)^G$47</f>
        <v/>
      </c>
      <c r="H59" s="18">
        <f>H58/(1+Model!$B$24)^H$47</f>
        <v/>
      </c>
      <c r="I59" s="18">
        <f>I58/(1+Model!$B$24)^I$47</f>
        <v/>
      </c>
      <c r="J59" s="18">
        <f>J58/(1+Model!$B$24)^J$47</f>
        <v/>
      </c>
      <c r="K59" s="18">
        <f>K58/(1+Model!$B$24)^K$47</f>
        <v/>
      </c>
      <c r="L59" s="18">
        <f>L58/(1+Model!$B$24)^L$47</f>
        <v/>
      </c>
      <c r="M59" s="18">
        <f>IF(ISNUMBER($B$63),$B$63,"excluded (undefined)")</f>
        <v/>
      </c>
      <c r="N59" s="19">
        <f>SUM(C59:L59)</f>
        <v/>
      </c>
      <c r="O59" s="6" t="inlineStr">
        <is>
          <t>after-tax cash flow / (1 + discount rate) ^ year; terminal column = terminal value discounted from year 10</t>
        </is>
      </c>
    </row>
    <row r="61">
      <c r="A61" s="21" t="inlineStr">
        <is>
          <t>Sum of present values, years 1-10</t>
        </is>
      </c>
      <c r="B61" s="22">
        <f>SUM(C59:L59)</f>
        <v/>
      </c>
      <c r="C61" t="inlineStr">
        <is>
          <t>$M</t>
        </is>
      </c>
      <c r="D61" s="6" t="inlineStr">
        <is>
          <t>sum of the present-value row</t>
        </is>
      </c>
    </row>
    <row r="62">
      <c r="A62" s="21" t="inlineStr">
        <is>
          <t>Terminal value at year 10</t>
        </is>
      </c>
      <c r="B62" s="22">
        <f>IF(Model!$B$24&gt;Model!$B$28,L58*(1+Model!$B$28)/(Model!$B$24-Model!$B$28),"terminal value undefined: discount rate must exceed terminal growth")</f>
        <v/>
      </c>
      <c r="C62" t="inlineStr">
        <is>
          <t>$M</t>
        </is>
      </c>
      <c r="D62" s="6" t="inlineStr">
        <is>
          <t>year-10 after-tax cash flow x (1 + terminal growth) / (discount rate - terminal growth)</t>
        </is>
      </c>
    </row>
    <row r="63">
      <c r="A63" s="21" t="inlineStr">
        <is>
          <t>Present value of terminal value</t>
        </is>
      </c>
      <c r="B63" s="22">
        <f>IF(ISNUMBER($B$62),$B$62/(1+Model!$B$24)^L$47,"excluded (undefined)")</f>
        <v/>
      </c>
      <c r="C63" t="inlineStr">
        <is>
          <t>$M</t>
        </is>
      </c>
      <c r="D63" s="6" t="inlineStr">
        <is>
          <t>terminal value / (1 + discount rate) ^ 10</t>
        </is>
      </c>
    </row>
    <row r="64">
      <c r="A64" s="3" t="inlineStr">
        <is>
          <t>Equity value</t>
        </is>
      </c>
      <c r="B64" s="23">
        <f>$B$61+IF(ISNUMBER($B$63),$B$63,0)-Model!$B$20</f>
        <v/>
      </c>
      <c r="C64" t="inlineStr">
        <is>
          <t>$M</t>
        </is>
      </c>
      <c r="D64" s="6" t="inlineStr">
        <is>
          <t>sum of present values + present value of terminal value - net debt (input: total debt - cash)</t>
        </is>
      </c>
    </row>
    <row r="65">
      <c r="A65" s="21" t="inlineStr">
        <is>
          <t>Terminal value as share of equity value</t>
        </is>
      </c>
      <c r="B65" s="24">
        <f>IF(ISNUMBER($B$63),IF($B$64=0,"n/a (equity value is 0)",$B$63/$B$64),"excluded (undefined)")</f>
        <v/>
      </c>
      <c r="C65" t="inlineStr">
        <is>
          <t>fraction</t>
        </is>
      </c>
      <c r="D65" s="6" t="inlineStr">
        <is>
          <t>present value of terminal value / equity value</t>
        </is>
      </c>
    </row>
    <row r="66">
      <c r="A66" s="21" t="inlineStr">
        <is>
          <t>Equity value / TTM revenue (price-to-sales)</t>
        </is>
      </c>
      <c r="B66" s="11">
        <f>IF(Model!$B$21=0,0,$B$64/Model!$B$21)</f>
        <v/>
      </c>
      <c r="C66" t="inlineStr">
        <is>
          <t>x</t>
        </is>
      </c>
      <c r="D66" s="6" t="inlineStr">
        <is>
          <t>equity value / trailing-twelve-month revenue. Mixed bases, stated once: the numerator is a forward-looking value whose year 1 is trailing rings x (1 + growth); the denominator is the trailing year to Jun 30 2026</t>
        </is>
      </c>
    </row>
    <row r="68">
      <c r="A68" s="3" t="inlineStr">
        <is>
          <t>Sensitivity — equity value ($M) by 12-month retention (rows) x ring-sales growth (columns). LIVE: each cell is the equity value of a full copy of the grid on sheet Sensitivity_engine.</t>
        </is>
      </c>
    </row>
    <row r="69">
      <c r="A69" s="2" t="inlineStr">
        <is>
          <t>Axis values are editable. The row and column matching the current inputs are shown below the grid.</t>
        </is>
      </c>
    </row>
    <row r="70">
      <c r="A70" s="3" t="inlineStr">
        <is>
          <t>retention ↓  /  ring growth →</t>
        </is>
      </c>
      <c r="B70" s="14" t="n">
        <v>0</v>
      </c>
      <c r="C70" s="14" t="n">
        <v>0.1</v>
      </c>
      <c r="D70" s="14" t="n">
        <v>0.25</v>
      </c>
      <c r="E70" s="14" t="n">
        <v>0.4</v>
      </c>
    </row>
    <row r="71">
      <c r="A71" s="14" t="n">
        <v>0.8</v>
      </c>
      <c r="B71" s="25">
        <f>Sensitivity_engine!$B$21</f>
        <v/>
      </c>
      <c r="C71" s="25">
        <f>Sensitivity_engine!$B$44</f>
        <v/>
      </c>
      <c r="D71" s="25">
        <f>Sensitivity_engine!$B$67</f>
        <v/>
      </c>
      <c r="E71" s="25">
        <f>Sensitivity_engine!$B$90</f>
        <v/>
      </c>
    </row>
    <row r="72">
      <c r="A72" s="14" t="n">
        <v>0.85</v>
      </c>
      <c r="B72" s="25">
        <f>Sensitivity_engine!$B$113</f>
        <v/>
      </c>
      <c r="C72" s="25">
        <f>Sensitivity_engine!$B$136</f>
        <v/>
      </c>
      <c r="D72" s="25">
        <f>Sensitivity_engine!$B$159</f>
        <v/>
      </c>
      <c r="E72" s="25">
        <f>Sensitivity_engine!$B$182</f>
        <v/>
      </c>
    </row>
    <row r="73">
      <c r="A73" s="14" t="n">
        <v>0.9</v>
      </c>
      <c r="B73" s="25">
        <f>Sensitivity_engine!$B$205</f>
        <v/>
      </c>
      <c r="C73" s="25">
        <f>Sensitivity_engine!$B$228</f>
        <v/>
      </c>
      <c r="D73" s="25">
        <f>Sensitivity_engine!$B$251</f>
        <v/>
      </c>
      <c r="E73" s="25">
        <f>Sensitivity_engine!$B$274</f>
        <v/>
      </c>
    </row>
    <row r="74">
      <c r="A74" s="14" t="n">
        <v>0.95</v>
      </c>
      <c r="B74" s="25">
        <f>Sensitivity_engine!$B$297</f>
        <v/>
      </c>
      <c r="C74" s="25">
        <f>Sensitivity_engine!$B$320</f>
        <v/>
      </c>
      <c r="D74" s="25">
        <f>Sensitivity_engine!$B$343</f>
        <v/>
      </c>
      <c r="E74" s="25">
        <f>Sensitivity_engine!$B$366</f>
        <v/>
      </c>
    </row>
    <row r="75">
      <c r="A75" t="inlineStr">
        <is>
          <t>Current inputs: retention</t>
        </is>
      </c>
      <c r="B75" s="16">
        <f>Model!$B$14</f>
        <v/>
      </c>
      <c r="C75" t="inlineStr">
        <is>
          <t>ring growth</t>
        </is>
      </c>
      <c r="D75" s="16">
        <f>Model!$B$25</f>
        <v/>
      </c>
    </row>
    <row r="77">
      <c r="A77" s="3" t="inlineStr">
        <is>
          <t>Value of one point at the default inputs (STATIC: computed by model.js at build time; does not update when inputs change — the web page recomputes it live)</t>
        </is>
      </c>
    </row>
    <row r="78">
      <c r="A78" t="inlineStr">
        <is>
          <t>One point (0.01) of 12-month retention, equity value change ($M)</t>
        </is>
      </c>
      <c r="B78" s="18" t="n">
        <v>510.1</v>
      </c>
      <c r="C78" s="2" t="inlineStr">
        <is>
          <t>forward difference</t>
        </is>
      </c>
    </row>
    <row r="79">
      <c r="A79" t="inlineStr">
        <is>
          <t>One point (0.01) of ring-sales growth, equity value change ($M)</t>
        </is>
      </c>
      <c r="B79" s="18" t="n">
        <v>721.3</v>
      </c>
      <c r="C79" s="2" t="inlineStr">
        <is>
          <t>forward difference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68"/>
  <sheetViews>
    <sheetView workbookViewId="0">
      <selection activeCell="A1" sqref="A1"/>
    </sheetView>
  </sheetViews>
  <sheetFormatPr baseColWidth="8" defaultRowHeight="15"/>
  <cols>
    <col width="4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2" t="inlineStr">
        <is>
          <t>Sixteen copies of the Block 3 grid, one per sensitivity cell. Retention and ring growth come from the axis cells on sheet Model; everything else from the Model inputs. Written by the same generator as the main grid.</t>
        </is>
      </c>
    </row>
    <row r="3">
      <c r="A3" s="3" t="inlineStr">
        <is>
          <t>Scenario: retention = Model!A71, ring growth = Model!B70</t>
        </is>
      </c>
    </row>
    <row r="4">
      <c r="A4" s="3" t="inlineStr">
        <is>
          <t>Year</t>
        </is>
      </c>
      <c r="B4" s="3" t="inlineStr">
        <is>
          <t>Unit</t>
        </is>
      </c>
      <c r="C4" s="15" t="n">
        <v>1</v>
      </c>
      <c r="D4" s="15" t="n">
        <v>2</v>
      </c>
      <c r="E4" s="15" t="n">
        <v>3</v>
      </c>
      <c r="F4" s="15" t="n">
        <v>4</v>
      </c>
      <c r="G4" s="15" t="n">
        <v>5</v>
      </c>
      <c r="H4" s="15" t="n">
        <v>6</v>
      </c>
      <c r="I4" s="15" t="n">
        <v>7</v>
      </c>
      <c r="J4" s="15" t="n">
        <v>8</v>
      </c>
      <c r="K4" s="15" t="n">
        <v>9</v>
      </c>
      <c r="L4" s="15" t="n">
        <v>10</v>
      </c>
      <c r="M4" s="3" t="inlineStr">
        <is>
          <t>Terminal</t>
        </is>
      </c>
      <c r="N4" s="3" t="inlineStr">
        <is>
          <t>Total</t>
        </is>
      </c>
    </row>
    <row r="5">
      <c r="A5" t="inlineStr">
        <is>
          <t>Rings sold</t>
        </is>
      </c>
      <c r="B5" t="inlineStr">
        <is>
          <t>M</t>
        </is>
      </c>
      <c r="C5" s="16">
        <f>Model!$B$17*(1+Model!$B$70)^MIN(C$4,Model!$B$26)</f>
        <v/>
      </c>
      <c r="D5" s="16">
        <f>Model!$B$17*(1+Model!$B$70)^MIN(D$4,Model!$B$26)</f>
        <v/>
      </c>
      <c r="E5" s="16">
        <f>Model!$B$17*(1+Model!$B$70)^MIN(E$4,Model!$B$26)</f>
        <v/>
      </c>
      <c r="F5" s="16">
        <f>Model!$B$17*(1+Model!$B$70)^MIN(F$4,Model!$B$26)</f>
        <v/>
      </c>
      <c r="G5" s="16">
        <f>Model!$B$17*(1+Model!$B$70)^MIN(G$4,Model!$B$26)</f>
        <v/>
      </c>
      <c r="H5" s="16">
        <f>Model!$B$17*(1+Model!$B$70)^MIN(H$4,Model!$B$26)</f>
        <v/>
      </c>
      <c r="I5" s="16">
        <f>Model!$B$17*(1+Model!$B$70)^MIN(I$4,Model!$B$26)</f>
        <v/>
      </c>
      <c r="J5" s="16">
        <f>Model!$B$17*(1+Model!$B$70)^MIN(J$4,Model!$B$26)</f>
        <v/>
      </c>
      <c r="K5" s="16">
        <f>Model!$B$17*(1+Model!$B$70)^MIN(K$4,Model!$B$26)</f>
        <v/>
      </c>
      <c r="L5" s="16">
        <f>Model!$B$17*(1+Model!$B$70)^MIN(L$4,Model!$B$26)</f>
        <v/>
      </c>
      <c r="N5" s="17">
        <f>SUM(C5:L5)</f>
        <v/>
      </c>
    </row>
    <row r="6">
      <c r="A6" t="inlineStr">
        <is>
          <t>New paid members</t>
        </is>
      </c>
      <c r="B6" t="inlineStr">
        <is>
          <t>M</t>
        </is>
      </c>
      <c r="C6" s="16">
        <f>C5*(1-Model!$B$13)*Model!$B$12</f>
        <v/>
      </c>
      <c r="D6" s="16">
        <f>D5*(1-Model!$B$13)*Model!$B$12</f>
        <v/>
      </c>
      <c r="E6" s="16">
        <f>E5*(1-Model!$B$13)*Model!$B$12</f>
        <v/>
      </c>
      <c r="F6" s="16">
        <f>F5*(1-Model!$B$13)*Model!$B$12</f>
        <v/>
      </c>
      <c r="G6" s="16">
        <f>G5*(1-Model!$B$13)*Model!$B$12</f>
        <v/>
      </c>
      <c r="H6" s="16">
        <f>H5*(1-Model!$B$13)*Model!$B$12</f>
        <v/>
      </c>
      <c r="I6" s="16">
        <f>I5*(1-Model!$B$13)*Model!$B$12</f>
        <v/>
      </c>
      <c r="J6" s="16">
        <f>J5*(1-Model!$B$13)*Model!$B$12</f>
        <v/>
      </c>
      <c r="K6" s="16">
        <f>K5*(1-Model!$B$13)*Model!$B$12</f>
        <v/>
      </c>
      <c r="L6" s="16">
        <f>L5*(1-Model!$B$13)*Model!$B$12</f>
        <v/>
      </c>
      <c r="N6" s="17">
        <f>SUM(C6:L6)</f>
        <v/>
      </c>
    </row>
    <row r="7">
      <c r="A7" t="inlineStr">
        <is>
          <t>Paid members</t>
        </is>
      </c>
      <c r="B7" t="inlineStr">
        <is>
          <t>M</t>
        </is>
      </c>
      <c r="C7" s="16">
        <f>Model!$B$18*Model!$A$71+C6</f>
        <v/>
      </c>
      <c r="D7" s="16">
        <f>C7*Model!$A$71+D6</f>
        <v/>
      </c>
      <c r="E7" s="16">
        <f>D7*Model!$A$71+E6</f>
        <v/>
      </c>
      <c r="F7" s="16">
        <f>E7*Model!$A$71+F6</f>
        <v/>
      </c>
      <c r="G7" s="16">
        <f>F7*Model!$A$71+G6</f>
        <v/>
      </c>
      <c r="H7" s="16">
        <f>G7*Model!$A$71+H6</f>
        <v/>
      </c>
      <c r="I7" s="16">
        <f>H7*Model!$A$71+I6</f>
        <v/>
      </c>
      <c r="J7" s="16">
        <f>I7*Model!$A$71+J6</f>
        <v/>
      </c>
      <c r="K7" s="16">
        <f>J7*Model!$A$71+K6</f>
        <v/>
      </c>
      <c r="L7" s="16">
        <f>K7*Model!$A$71+L6</f>
        <v/>
      </c>
    </row>
    <row r="8">
      <c r="A8" t="inlineStr">
        <is>
          <t>Revenue (hardware + membership)</t>
        </is>
      </c>
      <c r="B8" t="inlineStr">
        <is>
          <t>$M</t>
        </is>
      </c>
      <c r="C8" s="18">
        <f>C5*Model!$B$8+C7*IF(Model!$A$71&gt;0,1,0)*Model!$B$10</f>
        <v/>
      </c>
      <c r="D8" s="18">
        <f>D5*Model!$B$8+D7*IF(Model!$A$71&gt;0,1,0)*Model!$B$10</f>
        <v/>
      </c>
      <c r="E8" s="18">
        <f>E5*Model!$B$8+E7*IF(Model!$A$71&gt;0,1,0)*Model!$B$10</f>
        <v/>
      </c>
      <c r="F8" s="18">
        <f>F5*Model!$B$8+F7*IF(Model!$A$71&gt;0,1,0)*Model!$B$10</f>
        <v/>
      </c>
      <c r="G8" s="18">
        <f>G5*Model!$B$8+G7*IF(Model!$A$71&gt;0,1,0)*Model!$B$10</f>
        <v/>
      </c>
      <c r="H8" s="18">
        <f>H5*Model!$B$8+H7*IF(Model!$A$71&gt;0,1,0)*Model!$B$10</f>
        <v/>
      </c>
      <c r="I8" s="18">
        <f>I5*Model!$B$8+I7*IF(Model!$A$71&gt;0,1,0)*Model!$B$10</f>
        <v/>
      </c>
      <c r="J8" s="18">
        <f>J5*Model!$B$8+J7*IF(Model!$A$71&gt;0,1,0)*Model!$B$10</f>
        <v/>
      </c>
      <c r="K8" s="18">
        <f>K5*Model!$B$8+K7*IF(Model!$A$71&gt;0,1,0)*Model!$B$10</f>
        <v/>
      </c>
      <c r="L8" s="18">
        <f>L5*Model!$B$8+L7*IF(Model!$A$71&gt;0,1,0)*Model!$B$10</f>
        <v/>
      </c>
      <c r="N8" s="19">
        <f>SUM(C8:L8)</f>
        <v/>
      </c>
    </row>
    <row r="9">
      <c r="A9" t="inlineStr">
        <is>
          <t>Membership gross profit</t>
        </is>
      </c>
      <c r="B9" t="inlineStr">
        <is>
          <t>$M</t>
        </is>
      </c>
      <c r="C9" s="18">
        <f>C7*IF(Model!$A$71&gt;0,1,0)*Model!$B$10*Model!$B$11</f>
        <v/>
      </c>
      <c r="D9" s="18">
        <f>D7*IF(Model!$A$71&gt;0,1,0)*Model!$B$10*Model!$B$11</f>
        <v/>
      </c>
      <c r="E9" s="18">
        <f>E7*IF(Model!$A$71&gt;0,1,0)*Model!$B$10*Model!$B$11</f>
        <v/>
      </c>
      <c r="F9" s="18">
        <f>F7*IF(Model!$A$71&gt;0,1,0)*Model!$B$10*Model!$B$11</f>
        <v/>
      </c>
      <c r="G9" s="18">
        <f>G7*IF(Model!$A$71&gt;0,1,0)*Model!$B$10*Model!$B$11</f>
        <v/>
      </c>
      <c r="H9" s="18">
        <f>H7*IF(Model!$A$71&gt;0,1,0)*Model!$B$10*Model!$B$11</f>
        <v/>
      </c>
      <c r="I9" s="18">
        <f>I7*IF(Model!$A$71&gt;0,1,0)*Model!$B$10*Model!$B$11</f>
        <v/>
      </c>
      <c r="J9" s="18">
        <f>J7*IF(Model!$A$71&gt;0,1,0)*Model!$B$10*Model!$B$11</f>
        <v/>
      </c>
      <c r="K9" s="18">
        <f>K7*IF(Model!$A$71&gt;0,1,0)*Model!$B$10*Model!$B$11</f>
        <v/>
      </c>
      <c r="L9" s="18">
        <f>L7*IF(Model!$A$71&gt;0,1,0)*Model!$B$10*Model!$B$11</f>
        <v/>
      </c>
      <c r="N9" s="19">
        <f>SUM(C9:L9)</f>
        <v/>
      </c>
    </row>
    <row r="10">
      <c r="A10" t="inlineStr">
        <is>
          <t>Hardware contribution</t>
        </is>
      </c>
      <c r="B10" t="inlineStr">
        <is>
          <t>$M</t>
        </is>
      </c>
      <c r="C10" s="18">
        <f>C5*Model!$B$34</f>
        <v/>
      </c>
      <c r="D10" s="18">
        <f>D5*Model!$B$34</f>
        <v/>
      </c>
      <c r="E10" s="18">
        <f>E5*Model!$B$34</f>
        <v/>
      </c>
      <c r="F10" s="18">
        <f>F5*Model!$B$34</f>
        <v/>
      </c>
      <c r="G10" s="18">
        <f>G5*Model!$B$34</f>
        <v/>
      </c>
      <c r="H10" s="18">
        <f>H5*Model!$B$34</f>
        <v/>
      </c>
      <c r="I10" s="18">
        <f>I5*Model!$B$34</f>
        <v/>
      </c>
      <c r="J10" s="18">
        <f>J5*Model!$B$34</f>
        <v/>
      </c>
      <c r="K10" s="18">
        <f>K5*Model!$B$34</f>
        <v/>
      </c>
      <c r="L10" s="18">
        <f>L5*Model!$B$34</f>
        <v/>
      </c>
      <c r="N10" s="19">
        <f>SUM(C10:L10)</f>
        <v/>
      </c>
    </row>
    <row r="11">
      <c r="A11" t="inlineStr">
        <is>
          <t>Fixed costs (R&amp;D + G&amp;A)</t>
        </is>
      </c>
      <c r="B11" t="inlineStr">
        <is>
          <t>$M</t>
        </is>
      </c>
      <c r="C11" s="18">
        <f>Model!$B$19*(1+Model!$B$27)^MIN(C$4,Model!$B$26)</f>
        <v/>
      </c>
      <c r="D11" s="18">
        <f>Model!$B$19*(1+Model!$B$27)^MIN(D$4,Model!$B$26)</f>
        <v/>
      </c>
      <c r="E11" s="18">
        <f>Model!$B$19*(1+Model!$B$27)^MIN(E$4,Model!$B$26)</f>
        <v/>
      </c>
      <c r="F11" s="18">
        <f>Model!$B$19*(1+Model!$B$27)^MIN(F$4,Model!$B$26)</f>
        <v/>
      </c>
      <c r="G11" s="18">
        <f>Model!$B$19*(1+Model!$B$27)^MIN(G$4,Model!$B$26)</f>
        <v/>
      </c>
      <c r="H11" s="18">
        <f>Model!$B$19*(1+Model!$B$27)^MIN(H$4,Model!$B$26)</f>
        <v/>
      </c>
      <c r="I11" s="18">
        <f>Model!$B$19*(1+Model!$B$27)^MIN(I$4,Model!$B$26)</f>
        <v/>
      </c>
      <c r="J11" s="18">
        <f>Model!$B$19*(1+Model!$B$27)^MIN(J$4,Model!$B$26)</f>
        <v/>
      </c>
      <c r="K11" s="18">
        <f>Model!$B$19*(1+Model!$B$27)^MIN(K$4,Model!$B$26)</f>
        <v/>
      </c>
      <c r="L11" s="18">
        <f>Model!$B$19*(1+Model!$B$27)^MIN(L$4,Model!$B$26)</f>
        <v/>
      </c>
      <c r="N11" s="19">
        <f>SUM(C11:L11)</f>
        <v/>
      </c>
    </row>
    <row r="12">
      <c r="A12" t="inlineStr">
        <is>
          <t>Operating profit  ⚠ full-year membership credit in every cohort's acquisition year (see the year-one flag on the web page); reported nine-month income from operations was $71.2M</t>
        </is>
      </c>
      <c r="B12" t="inlineStr">
        <is>
          <t>$M</t>
        </is>
      </c>
      <c r="C12" s="18">
        <f>C9+C10-C11</f>
        <v/>
      </c>
      <c r="D12" s="18">
        <f>D9+D10-D11</f>
        <v/>
      </c>
      <c r="E12" s="18">
        <f>E9+E10-E11</f>
        <v/>
      </c>
      <c r="F12" s="18">
        <f>F9+F10-F11</f>
        <v/>
      </c>
      <c r="G12" s="18">
        <f>G9+G10-G11</f>
        <v/>
      </c>
      <c r="H12" s="18">
        <f>H9+H10-H11</f>
        <v/>
      </c>
      <c r="I12" s="18">
        <f>I9+I10-I11</f>
        <v/>
      </c>
      <c r="J12" s="18">
        <f>J9+J10-J11</f>
        <v/>
      </c>
      <c r="K12" s="18">
        <f>K9+K10-K11</f>
        <v/>
      </c>
      <c r="L12" s="18">
        <f>L9+L10-L11</f>
        <v/>
      </c>
      <c r="N12" s="19">
        <f>SUM(C12:L12)</f>
        <v/>
      </c>
    </row>
    <row r="13">
      <c r="A13" t="inlineStr">
        <is>
          <t>Operating margin</t>
        </is>
      </c>
      <c r="B13" t="inlineStr">
        <is>
          <t>fraction</t>
        </is>
      </c>
      <c r="C13" s="20">
        <f>IF(C8=0,0,C12/C8)</f>
        <v/>
      </c>
      <c r="D13" s="20">
        <f>IF(D8=0,0,D12/D8)</f>
        <v/>
      </c>
      <c r="E13" s="20">
        <f>IF(E8=0,0,E12/E8)</f>
        <v/>
      </c>
      <c r="F13" s="20">
        <f>IF(F8=0,0,F12/F8)</f>
        <v/>
      </c>
      <c r="G13" s="20">
        <f>IF(G8=0,0,G12/G8)</f>
        <v/>
      </c>
      <c r="H13" s="20">
        <f>IF(H8=0,0,H12/H8)</f>
        <v/>
      </c>
      <c r="I13" s="20">
        <f>IF(I8=0,0,I12/I8)</f>
        <v/>
      </c>
      <c r="J13" s="20">
        <f>IF(J8=0,0,J12/J8)</f>
        <v/>
      </c>
      <c r="K13" s="20">
        <f>IF(K8=0,0,K12/K8)</f>
        <v/>
      </c>
      <c r="L13" s="20">
        <f>IF(L8=0,0,L12/L8)</f>
        <v/>
      </c>
    </row>
    <row r="14">
      <c r="A14" t="inlineStr">
        <is>
          <t>Tax</t>
        </is>
      </c>
      <c r="B14" t="inlineStr">
        <is>
          <t>$M</t>
        </is>
      </c>
      <c r="C14" s="18">
        <f>MAX(0,C12)*Model!$B$23</f>
        <v/>
      </c>
      <c r="D14" s="18">
        <f>MAX(0,D12)*Model!$B$23</f>
        <v/>
      </c>
      <c r="E14" s="18">
        <f>MAX(0,E12)*Model!$B$23</f>
        <v/>
      </c>
      <c r="F14" s="18">
        <f>MAX(0,F12)*Model!$B$23</f>
        <v/>
      </c>
      <c r="G14" s="18">
        <f>MAX(0,G12)*Model!$B$23</f>
        <v/>
      </c>
      <c r="H14" s="18">
        <f>MAX(0,H12)*Model!$B$23</f>
        <v/>
      </c>
      <c r="I14" s="18">
        <f>MAX(0,I12)*Model!$B$23</f>
        <v/>
      </c>
      <c r="J14" s="18">
        <f>MAX(0,J12)*Model!$B$23</f>
        <v/>
      </c>
      <c r="K14" s="18">
        <f>MAX(0,K12)*Model!$B$23</f>
        <v/>
      </c>
      <c r="L14" s="18">
        <f>MAX(0,L12)*Model!$B$23</f>
        <v/>
      </c>
      <c r="N14" s="19">
        <f>SUM(C14:L14)</f>
        <v/>
      </c>
    </row>
    <row r="15">
      <c r="A15" t="inlineStr">
        <is>
          <t>After-tax cash flow</t>
        </is>
      </c>
      <c r="B15" t="inlineStr">
        <is>
          <t>$M</t>
        </is>
      </c>
      <c r="C15" s="18">
        <f>C12-C14</f>
        <v/>
      </c>
      <c r="D15" s="18">
        <f>D12-D14</f>
        <v/>
      </c>
      <c r="E15" s="18">
        <f>E12-E14</f>
        <v/>
      </c>
      <c r="F15" s="18">
        <f>F12-F14</f>
        <v/>
      </c>
      <c r="G15" s="18">
        <f>G12-G14</f>
        <v/>
      </c>
      <c r="H15" s="18">
        <f>H12-H14</f>
        <v/>
      </c>
      <c r="I15" s="18">
        <f>I12-I14</f>
        <v/>
      </c>
      <c r="J15" s="18">
        <f>J12-J14</f>
        <v/>
      </c>
      <c r="K15" s="18">
        <f>K12-K14</f>
        <v/>
      </c>
      <c r="L15" s="18">
        <f>L12-L14</f>
        <v/>
      </c>
      <c r="N15" s="19">
        <f>SUM(C15:L15)</f>
        <v/>
      </c>
    </row>
    <row r="16">
      <c r="A16" t="inlineStr">
        <is>
          <t>Present value</t>
        </is>
      </c>
      <c r="B16" t="inlineStr">
        <is>
          <t>$M</t>
        </is>
      </c>
      <c r="C16" s="18">
        <f>C15/(1+Model!$B$24)^C$4</f>
        <v/>
      </c>
      <c r="D16" s="18">
        <f>D15/(1+Model!$B$24)^D$4</f>
        <v/>
      </c>
      <c r="E16" s="18">
        <f>E15/(1+Model!$B$24)^E$4</f>
        <v/>
      </c>
      <c r="F16" s="18">
        <f>F15/(1+Model!$B$24)^F$4</f>
        <v/>
      </c>
      <c r="G16" s="18">
        <f>G15/(1+Model!$B$24)^G$4</f>
        <v/>
      </c>
      <c r="H16" s="18">
        <f>H15/(1+Model!$B$24)^H$4</f>
        <v/>
      </c>
      <c r="I16" s="18">
        <f>I15/(1+Model!$B$24)^I$4</f>
        <v/>
      </c>
      <c r="J16" s="18">
        <f>J15/(1+Model!$B$24)^J$4</f>
        <v/>
      </c>
      <c r="K16" s="18">
        <f>K15/(1+Model!$B$24)^K$4</f>
        <v/>
      </c>
      <c r="L16" s="18">
        <f>L15/(1+Model!$B$24)^L$4</f>
        <v/>
      </c>
      <c r="M16" s="18">
        <f>IF(ISNUMBER($B$20),$B$20,"excluded (undefined)")</f>
        <v/>
      </c>
      <c r="N16" s="19">
        <f>SUM(C16:L16)</f>
        <v/>
      </c>
    </row>
    <row r="18">
      <c r="A18" s="21" t="inlineStr">
        <is>
          <t>Sum of present values, years 1-10</t>
        </is>
      </c>
      <c r="B18" s="22">
        <f>SUM(C16:L16)</f>
        <v/>
      </c>
      <c r="C18" t="inlineStr">
        <is>
          <t>$M</t>
        </is>
      </c>
    </row>
    <row r="19">
      <c r="A19" s="21" t="inlineStr">
        <is>
          <t>Terminal value at year 10</t>
        </is>
      </c>
      <c r="B19" s="22">
        <f>IF(Model!$B$24&gt;Model!$B$28,L15*(1+Model!$B$28)/(Model!$B$24-Model!$B$28),"terminal value undefined: discount rate must exceed terminal growth")</f>
        <v/>
      </c>
      <c r="C19" t="inlineStr">
        <is>
          <t>$M</t>
        </is>
      </c>
    </row>
    <row r="20">
      <c r="A20" s="21" t="inlineStr">
        <is>
          <t>Present value of terminal value</t>
        </is>
      </c>
      <c r="B20" s="22">
        <f>IF(ISNUMBER($B$19),$B$19/(1+Model!$B$24)^L$4,"excluded (undefined)")</f>
        <v/>
      </c>
      <c r="C20" t="inlineStr">
        <is>
          <t>$M</t>
        </is>
      </c>
    </row>
    <row r="21">
      <c r="A21" s="3" t="inlineStr">
        <is>
          <t>Equity value</t>
        </is>
      </c>
      <c r="B21" s="23">
        <f>$B$18+IF(ISNUMBER($B$20),$B$20,0)-Model!$B$20</f>
        <v/>
      </c>
      <c r="C21" t="inlineStr">
        <is>
          <t>$M</t>
        </is>
      </c>
    </row>
    <row r="22">
      <c r="A22" s="21" t="inlineStr">
        <is>
          <t>Terminal value as share of equity value</t>
        </is>
      </c>
      <c r="B22" s="24">
        <f>IF(ISNUMBER($B$20),IF($B$21=0,"n/a (equity value is 0)",$B$20/$B$21),"excluded (undefined)")</f>
        <v/>
      </c>
      <c r="C22" t="inlineStr">
        <is>
          <t>fraction</t>
        </is>
      </c>
    </row>
    <row r="23">
      <c r="A23" s="21" t="inlineStr">
        <is>
          <t>Equity value / TTM revenue (price-to-sales)</t>
        </is>
      </c>
      <c r="B23" s="11">
        <f>IF(Model!$B$21=0,0,$B$21/Model!$B$21)</f>
        <v/>
      </c>
      <c r="C23" t="inlineStr">
        <is>
          <t>x</t>
        </is>
      </c>
    </row>
    <row r="26">
      <c r="A26" s="3" t="inlineStr">
        <is>
          <t>Scenario: retention = Model!A71, ring growth = Model!C70</t>
        </is>
      </c>
    </row>
    <row r="27">
      <c r="A27" s="3" t="inlineStr">
        <is>
          <t>Year</t>
        </is>
      </c>
      <c r="B27" s="3" t="inlineStr">
        <is>
          <t>Unit</t>
        </is>
      </c>
      <c r="C27" s="15" t="n">
        <v>1</v>
      </c>
      <c r="D27" s="15" t="n">
        <v>2</v>
      </c>
      <c r="E27" s="15" t="n">
        <v>3</v>
      </c>
      <c r="F27" s="15" t="n">
        <v>4</v>
      </c>
      <c r="G27" s="15" t="n">
        <v>5</v>
      </c>
      <c r="H27" s="15" t="n">
        <v>6</v>
      </c>
      <c r="I27" s="15" t="n">
        <v>7</v>
      </c>
      <c r="J27" s="15" t="n">
        <v>8</v>
      </c>
      <c r="K27" s="15" t="n">
        <v>9</v>
      </c>
      <c r="L27" s="15" t="n">
        <v>10</v>
      </c>
      <c r="M27" s="3" t="inlineStr">
        <is>
          <t>Terminal</t>
        </is>
      </c>
      <c r="N27" s="3" t="inlineStr">
        <is>
          <t>Total</t>
        </is>
      </c>
    </row>
    <row r="28">
      <c r="A28" t="inlineStr">
        <is>
          <t>Rings sold</t>
        </is>
      </c>
      <c r="B28" t="inlineStr">
        <is>
          <t>M</t>
        </is>
      </c>
      <c r="C28" s="16">
        <f>Model!$B$17*(1+Model!$C$70)^MIN(C$27,Model!$B$26)</f>
        <v/>
      </c>
      <c r="D28" s="16">
        <f>Model!$B$17*(1+Model!$C$70)^MIN(D$27,Model!$B$26)</f>
        <v/>
      </c>
      <c r="E28" s="16">
        <f>Model!$B$17*(1+Model!$C$70)^MIN(E$27,Model!$B$26)</f>
        <v/>
      </c>
      <c r="F28" s="16">
        <f>Model!$B$17*(1+Model!$C$70)^MIN(F$27,Model!$B$26)</f>
        <v/>
      </c>
      <c r="G28" s="16">
        <f>Model!$B$17*(1+Model!$C$70)^MIN(G$27,Model!$B$26)</f>
        <v/>
      </c>
      <c r="H28" s="16">
        <f>Model!$B$17*(1+Model!$C$70)^MIN(H$27,Model!$B$26)</f>
        <v/>
      </c>
      <c r="I28" s="16">
        <f>Model!$B$17*(1+Model!$C$70)^MIN(I$27,Model!$B$26)</f>
        <v/>
      </c>
      <c r="J28" s="16">
        <f>Model!$B$17*(1+Model!$C$70)^MIN(J$27,Model!$B$26)</f>
        <v/>
      </c>
      <c r="K28" s="16">
        <f>Model!$B$17*(1+Model!$C$70)^MIN(K$27,Model!$B$26)</f>
        <v/>
      </c>
      <c r="L28" s="16">
        <f>Model!$B$17*(1+Model!$C$70)^MIN(L$27,Model!$B$26)</f>
        <v/>
      </c>
      <c r="N28" s="17">
        <f>SUM(C28:L28)</f>
        <v/>
      </c>
    </row>
    <row r="29">
      <c r="A29" t="inlineStr">
        <is>
          <t>New paid members</t>
        </is>
      </c>
      <c r="B29" t="inlineStr">
        <is>
          <t>M</t>
        </is>
      </c>
      <c r="C29" s="16">
        <f>C28*(1-Model!$B$13)*Model!$B$12</f>
        <v/>
      </c>
      <c r="D29" s="16">
        <f>D28*(1-Model!$B$13)*Model!$B$12</f>
        <v/>
      </c>
      <c r="E29" s="16">
        <f>E28*(1-Model!$B$13)*Model!$B$12</f>
        <v/>
      </c>
      <c r="F29" s="16">
        <f>F28*(1-Model!$B$13)*Model!$B$12</f>
        <v/>
      </c>
      <c r="G29" s="16">
        <f>G28*(1-Model!$B$13)*Model!$B$12</f>
        <v/>
      </c>
      <c r="H29" s="16">
        <f>H28*(1-Model!$B$13)*Model!$B$12</f>
        <v/>
      </c>
      <c r="I29" s="16">
        <f>I28*(1-Model!$B$13)*Model!$B$12</f>
        <v/>
      </c>
      <c r="J29" s="16">
        <f>J28*(1-Model!$B$13)*Model!$B$12</f>
        <v/>
      </c>
      <c r="K29" s="16">
        <f>K28*(1-Model!$B$13)*Model!$B$12</f>
        <v/>
      </c>
      <c r="L29" s="16">
        <f>L28*(1-Model!$B$13)*Model!$B$12</f>
        <v/>
      </c>
      <c r="N29" s="17">
        <f>SUM(C29:L29)</f>
        <v/>
      </c>
    </row>
    <row r="30">
      <c r="A30" t="inlineStr">
        <is>
          <t>Paid members</t>
        </is>
      </c>
      <c r="B30" t="inlineStr">
        <is>
          <t>M</t>
        </is>
      </c>
      <c r="C30" s="16">
        <f>Model!$B$18*Model!$A$71+C29</f>
        <v/>
      </c>
      <c r="D30" s="16">
        <f>C30*Model!$A$71+D29</f>
        <v/>
      </c>
      <c r="E30" s="16">
        <f>D30*Model!$A$71+E29</f>
        <v/>
      </c>
      <c r="F30" s="16">
        <f>E30*Model!$A$71+F29</f>
        <v/>
      </c>
      <c r="G30" s="16">
        <f>F30*Model!$A$71+G29</f>
        <v/>
      </c>
      <c r="H30" s="16">
        <f>G30*Model!$A$71+H29</f>
        <v/>
      </c>
      <c r="I30" s="16">
        <f>H30*Model!$A$71+I29</f>
        <v/>
      </c>
      <c r="J30" s="16">
        <f>I30*Model!$A$71+J29</f>
        <v/>
      </c>
      <c r="K30" s="16">
        <f>J30*Model!$A$71+K29</f>
        <v/>
      </c>
      <c r="L30" s="16">
        <f>K30*Model!$A$71+L29</f>
        <v/>
      </c>
    </row>
    <row r="31">
      <c r="A31" t="inlineStr">
        <is>
          <t>Revenue (hardware + membership)</t>
        </is>
      </c>
      <c r="B31" t="inlineStr">
        <is>
          <t>$M</t>
        </is>
      </c>
      <c r="C31" s="18">
        <f>C28*Model!$B$8+C30*IF(Model!$A$71&gt;0,1,0)*Model!$B$10</f>
        <v/>
      </c>
      <c r="D31" s="18">
        <f>D28*Model!$B$8+D30*IF(Model!$A$71&gt;0,1,0)*Model!$B$10</f>
        <v/>
      </c>
      <c r="E31" s="18">
        <f>E28*Model!$B$8+E30*IF(Model!$A$71&gt;0,1,0)*Model!$B$10</f>
        <v/>
      </c>
      <c r="F31" s="18">
        <f>F28*Model!$B$8+F30*IF(Model!$A$71&gt;0,1,0)*Model!$B$10</f>
        <v/>
      </c>
      <c r="G31" s="18">
        <f>G28*Model!$B$8+G30*IF(Model!$A$71&gt;0,1,0)*Model!$B$10</f>
        <v/>
      </c>
      <c r="H31" s="18">
        <f>H28*Model!$B$8+H30*IF(Model!$A$71&gt;0,1,0)*Model!$B$10</f>
        <v/>
      </c>
      <c r="I31" s="18">
        <f>I28*Model!$B$8+I30*IF(Model!$A$71&gt;0,1,0)*Model!$B$10</f>
        <v/>
      </c>
      <c r="J31" s="18">
        <f>J28*Model!$B$8+J30*IF(Model!$A$71&gt;0,1,0)*Model!$B$10</f>
        <v/>
      </c>
      <c r="K31" s="18">
        <f>K28*Model!$B$8+K30*IF(Model!$A$71&gt;0,1,0)*Model!$B$10</f>
        <v/>
      </c>
      <c r="L31" s="18">
        <f>L28*Model!$B$8+L30*IF(Model!$A$71&gt;0,1,0)*Model!$B$10</f>
        <v/>
      </c>
      <c r="N31" s="19">
        <f>SUM(C31:L31)</f>
        <v/>
      </c>
    </row>
    <row r="32">
      <c r="A32" t="inlineStr">
        <is>
          <t>Membership gross profit</t>
        </is>
      </c>
      <c r="B32" t="inlineStr">
        <is>
          <t>$M</t>
        </is>
      </c>
      <c r="C32" s="18">
        <f>C30*IF(Model!$A$71&gt;0,1,0)*Model!$B$10*Model!$B$11</f>
        <v/>
      </c>
      <c r="D32" s="18">
        <f>D30*IF(Model!$A$71&gt;0,1,0)*Model!$B$10*Model!$B$11</f>
        <v/>
      </c>
      <c r="E32" s="18">
        <f>E30*IF(Model!$A$71&gt;0,1,0)*Model!$B$10*Model!$B$11</f>
        <v/>
      </c>
      <c r="F32" s="18">
        <f>F30*IF(Model!$A$71&gt;0,1,0)*Model!$B$10*Model!$B$11</f>
        <v/>
      </c>
      <c r="G32" s="18">
        <f>G30*IF(Model!$A$71&gt;0,1,0)*Model!$B$10*Model!$B$11</f>
        <v/>
      </c>
      <c r="H32" s="18">
        <f>H30*IF(Model!$A$71&gt;0,1,0)*Model!$B$10*Model!$B$11</f>
        <v/>
      </c>
      <c r="I32" s="18">
        <f>I30*IF(Model!$A$71&gt;0,1,0)*Model!$B$10*Model!$B$11</f>
        <v/>
      </c>
      <c r="J32" s="18">
        <f>J30*IF(Model!$A$71&gt;0,1,0)*Model!$B$10*Model!$B$11</f>
        <v/>
      </c>
      <c r="K32" s="18">
        <f>K30*IF(Model!$A$71&gt;0,1,0)*Model!$B$10*Model!$B$11</f>
        <v/>
      </c>
      <c r="L32" s="18">
        <f>L30*IF(Model!$A$71&gt;0,1,0)*Model!$B$10*Model!$B$11</f>
        <v/>
      </c>
      <c r="N32" s="19">
        <f>SUM(C32:L32)</f>
        <v/>
      </c>
    </row>
    <row r="33">
      <c r="A33" t="inlineStr">
        <is>
          <t>Hardware contribution</t>
        </is>
      </c>
      <c r="B33" t="inlineStr">
        <is>
          <t>$M</t>
        </is>
      </c>
      <c r="C33" s="18">
        <f>C28*Model!$B$34</f>
        <v/>
      </c>
      <c r="D33" s="18">
        <f>D28*Model!$B$34</f>
        <v/>
      </c>
      <c r="E33" s="18">
        <f>E28*Model!$B$34</f>
        <v/>
      </c>
      <c r="F33" s="18">
        <f>F28*Model!$B$34</f>
        <v/>
      </c>
      <c r="G33" s="18">
        <f>G28*Model!$B$34</f>
        <v/>
      </c>
      <c r="H33" s="18">
        <f>H28*Model!$B$34</f>
        <v/>
      </c>
      <c r="I33" s="18">
        <f>I28*Model!$B$34</f>
        <v/>
      </c>
      <c r="J33" s="18">
        <f>J28*Model!$B$34</f>
        <v/>
      </c>
      <c r="K33" s="18">
        <f>K28*Model!$B$34</f>
        <v/>
      </c>
      <c r="L33" s="18">
        <f>L28*Model!$B$34</f>
        <v/>
      </c>
      <c r="N33" s="19">
        <f>SUM(C33:L33)</f>
        <v/>
      </c>
    </row>
    <row r="34">
      <c r="A34" t="inlineStr">
        <is>
          <t>Fixed costs (R&amp;D + G&amp;A)</t>
        </is>
      </c>
      <c r="B34" t="inlineStr">
        <is>
          <t>$M</t>
        </is>
      </c>
      <c r="C34" s="18">
        <f>Model!$B$19*(1+Model!$B$27)^MIN(C$27,Model!$B$26)</f>
        <v/>
      </c>
      <c r="D34" s="18">
        <f>Model!$B$19*(1+Model!$B$27)^MIN(D$27,Model!$B$26)</f>
        <v/>
      </c>
      <c r="E34" s="18">
        <f>Model!$B$19*(1+Model!$B$27)^MIN(E$27,Model!$B$26)</f>
        <v/>
      </c>
      <c r="F34" s="18">
        <f>Model!$B$19*(1+Model!$B$27)^MIN(F$27,Model!$B$26)</f>
        <v/>
      </c>
      <c r="G34" s="18">
        <f>Model!$B$19*(1+Model!$B$27)^MIN(G$27,Model!$B$26)</f>
        <v/>
      </c>
      <c r="H34" s="18">
        <f>Model!$B$19*(1+Model!$B$27)^MIN(H$27,Model!$B$26)</f>
        <v/>
      </c>
      <c r="I34" s="18">
        <f>Model!$B$19*(1+Model!$B$27)^MIN(I$27,Model!$B$26)</f>
        <v/>
      </c>
      <c r="J34" s="18">
        <f>Model!$B$19*(1+Model!$B$27)^MIN(J$27,Model!$B$26)</f>
        <v/>
      </c>
      <c r="K34" s="18">
        <f>Model!$B$19*(1+Model!$B$27)^MIN(K$27,Model!$B$26)</f>
        <v/>
      </c>
      <c r="L34" s="18">
        <f>Model!$B$19*(1+Model!$B$27)^MIN(L$27,Model!$B$26)</f>
        <v/>
      </c>
      <c r="N34" s="19">
        <f>SUM(C34:L34)</f>
        <v/>
      </c>
    </row>
    <row r="35">
      <c r="A35" t="inlineStr">
        <is>
          <t>Operating profit  ⚠ full-year membership credit in every cohort's acquisition year (see the year-one flag on the web page); reported nine-month income from operations was $71.2M</t>
        </is>
      </c>
      <c r="B35" t="inlineStr">
        <is>
          <t>$M</t>
        </is>
      </c>
      <c r="C35" s="18">
        <f>C32+C33-C34</f>
        <v/>
      </c>
      <c r="D35" s="18">
        <f>D32+D33-D34</f>
        <v/>
      </c>
      <c r="E35" s="18">
        <f>E32+E33-E34</f>
        <v/>
      </c>
      <c r="F35" s="18">
        <f>F32+F33-F34</f>
        <v/>
      </c>
      <c r="G35" s="18">
        <f>G32+G33-G34</f>
        <v/>
      </c>
      <c r="H35" s="18">
        <f>H32+H33-H34</f>
        <v/>
      </c>
      <c r="I35" s="18">
        <f>I32+I33-I34</f>
        <v/>
      </c>
      <c r="J35" s="18">
        <f>J32+J33-J34</f>
        <v/>
      </c>
      <c r="K35" s="18">
        <f>K32+K33-K34</f>
        <v/>
      </c>
      <c r="L35" s="18">
        <f>L32+L33-L34</f>
        <v/>
      </c>
      <c r="N35" s="19">
        <f>SUM(C35:L35)</f>
        <v/>
      </c>
    </row>
    <row r="36">
      <c r="A36" t="inlineStr">
        <is>
          <t>Operating margin</t>
        </is>
      </c>
      <c r="B36" t="inlineStr">
        <is>
          <t>fraction</t>
        </is>
      </c>
      <c r="C36" s="20">
        <f>IF(C31=0,0,C35/C31)</f>
        <v/>
      </c>
      <c r="D36" s="20">
        <f>IF(D31=0,0,D35/D31)</f>
        <v/>
      </c>
      <c r="E36" s="20">
        <f>IF(E31=0,0,E35/E31)</f>
        <v/>
      </c>
      <c r="F36" s="20">
        <f>IF(F31=0,0,F35/F31)</f>
        <v/>
      </c>
      <c r="G36" s="20">
        <f>IF(G31=0,0,G35/G31)</f>
        <v/>
      </c>
      <c r="H36" s="20">
        <f>IF(H31=0,0,H35/H31)</f>
        <v/>
      </c>
      <c r="I36" s="20">
        <f>IF(I31=0,0,I35/I31)</f>
        <v/>
      </c>
      <c r="J36" s="20">
        <f>IF(J31=0,0,J35/J31)</f>
        <v/>
      </c>
      <c r="K36" s="20">
        <f>IF(K31=0,0,K35/K31)</f>
        <v/>
      </c>
      <c r="L36" s="20">
        <f>IF(L31=0,0,L35/L31)</f>
        <v/>
      </c>
    </row>
    <row r="37">
      <c r="A37" t="inlineStr">
        <is>
          <t>Tax</t>
        </is>
      </c>
      <c r="B37" t="inlineStr">
        <is>
          <t>$M</t>
        </is>
      </c>
      <c r="C37" s="18">
        <f>MAX(0,C35)*Model!$B$23</f>
        <v/>
      </c>
      <c r="D37" s="18">
        <f>MAX(0,D35)*Model!$B$23</f>
        <v/>
      </c>
      <c r="E37" s="18">
        <f>MAX(0,E35)*Model!$B$23</f>
        <v/>
      </c>
      <c r="F37" s="18">
        <f>MAX(0,F35)*Model!$B$23</f>
        <v/>
      </c>
      <c r="G37" s="18">
        <f>MAX(0,G35)*Model!$B$23</f>
        <v/>
      </c>
      <c r="H37" s="18">
        <f>MAX(0,H35)*Model!$B$23</f>
        <v/>
      </c>
      <c r="I37" s="18">
        <f>MAX(0,I35)*Model!$B$23</f>
        <v/>
      </c>
      <c r="J37" s="18">
        <f>MAX(0,J35)*Model!$B$23</f>
        <v/>
      </c>
      <c r="K37" s="18">
        <f>MAX(0,K35)*Model!$B$23</f>
        <v/>
      </c>
      <c r="L37" s="18">
        <f>MAX(0,L35)*Model!$B$23</f>
        <v/>
      </c>
      <c r="N37" s="19">
        <f>SUM(C37:L37)</f>
        <v/>
      </c>
    </row>
    <row r="38">
      <c r="A38" t="inlineStr">
        <is>
          <t>After-tax cash flow</t>
        </is>
      </c>
      <c r="B38" t="inlineStr">
        <is>
          <t>$M</t>
        </is>
      </c>
      <c r="C38" s="18">
        <f>C35-C37</f>
        <v/>
      </c>
      <c r="D38" s="18">
        <f>D35-D37</f>
        <v/>
      </c>
      <c r="E38" s="18">
        <f>E35-E37</f>
        <v/>
      </c>
      <c r="F38" s="18">
        <f>F35-F37</f>
        <v/>
      </c>
      <c r="G38" s="18">
        <f>G35-G37</f>
        <v/>
      </c>
      <c r="H38" s="18">
        <f>H35-H37</f>
        <v/>
      </c>
      <c r="I38" s="18">
        <f>I35-I37</f>
        <v/>
      </c>
      <c r="J38" s="18">
        <f>J35-J37</f>
        <v/>
      </c>
      <c r="K38" s="18">
        <f>K35-K37</f>
        <v/>
      </c>
      <c r="L38" s="18">
        <f>L35-L37</f>
        <v/>
      </c>
      <c r="N38" s="19">
        <f>SUM(C38:L38)</f>
        <v/>
      </c>
    </row>
    <row r="39">
      <c r="A39" t="inlineStr">
        <is>
          <t>Present value</t>
        </is>
      </c>
      <c r="B39" t="inlineStr">
        <is>
          <t>$M</t>
        </is>
      </c>
      <c r="C39" s="18">
        <f>C38/(1+Model!$B$24)^C$27</f>
        <v/>
      </c>
      <c r="D39" s="18">
        <f>D38/(1+Model!$B$24)^D$27</f>
        <v/>
      </c>
      <c r="E39" s="18">
        <f>E38/(1+Model!$B$24)^E$27</f>
        <v/>
      </c>
      <c r="F39" s="18">
        <f>F38/(1+Model!$B$24)^F$27</f>
        <v/>
      </c>
      <c r="G39" s="18">
        <f>G38/(1+Model!$B$24)^G$27</f>
        <v/>
      </c>
      <c r="H39" s="18">
        <f>H38/(1+Model!$B$24)^H$27</f>
        <v/>
      </c>
      <c r="I39" s="18">
        <f>I38/(1+Model!$B$24)^I$27</f>
        <v/>
      </c>
      <c r="J39" s="18">
        <f>J38/(1+Model!$B$24)^J$27</f>
        <v/>
      </c>
      <c r="K39" s="18">
        <f>K38/(1+Model!$B$24)^K$27</f>
        <v/>
      </c>
      <c r="L39" s="18">
        <f>L38/(1+Model!$B$24)^L$27</f>
        <v/>
      </c>
      <c r="M39" s="18">
        <f>IF(ISNUMBER($B$43),$B$43,"excluded (undefined)")</f>
        <v/>
      </c>
      <c r="N39" s="19">
        <f>SUM(C39:L39)</f>
        <v/>
      </c>
    </row>
    <row r="41">
      <c r="A41" s="21" t="inlineStr">
        <is>
          <t>Sum of present values, years 1-10</t>
        </is>
      </c>
      <c r="B41" s="22">
        <f>SUM(C39:L39)</f>
        <v/>
      </c>
      <c r="C41" t="inlineStr">
        <is>
          <t>$M</t>
        </is>
      </c>
    </row>
    <row r="42">
      <c r="A42" s="21" t="inlineStr">
        <is>
          <t>Terminal value at year 10</t>
        </is>
      </c>
      <c r="B42" s="22">
        <f>IF(Model!$B$24&gt;Model!$B$28,L38*(1+Model!$B$28)/(Model!$B$24-Model!$B$28),"terminal value undefined: discount rate must exceed terminal growth")</f>
        <v/>
      </c>
      <c r="C42" t="inlineStr">
        <is>
          <t>$M</t>
        </is>
      </c>
    </row>
    <row r="43">
      <c r="A43" s="21" t="inlineStr">
        <is>
          <t>Present value of terminal value</t>
        </is>
      </c>
      <c r="B43" s="22">
        <f>IF(ISNUMBER($B$42),$B$42/(1+Model!$B$24)^L$27,"excluded (undefined)")</f>
        <v/>
      </c>
      <c r="C43" t="inlineStr">
        <is>
          <t>$M</t>
        </is>
      </c>
    </row>
    <row r="44">
      <c r="A44" s="3" t="inlineStr">
        <is>
          <t>Equity value</t>
        </is>
      </c>
      <c r="B44" s="23">
        <f>$B$41+IF(ISNUMBER($B$43),$B$43,0)-Model!$B$20</f>
        <v/>
      </c>
      <c r="C44" t="inlineStr">
        <is>
          <t>$M</t>
        </is>
      </c>
    </row>
    <row r="45">
      <c r="A45" s="21" t="inlineStr">
        <is>
          <t>Terminal value as share of equity value</t>
        </is>
      </c>
      <c r="B45" s="24">
        <f>IF(ISNUMBER($B$43),IF($B$44=0,"n/a (equity value is 0)",$B$43/$B$44),"excluded (undefined)")</f>
        <v/>
      </c>
      <c r="C45" t="inlineStr">
        <is>
          <t>fraction</t>
        </is>
      </c>
    </row>
    <row r="46">
      <c r="A46" s="21" t="inlineStr">
        <is>
          <t>Equity value / TTM revenue (price-to-sales)</t>
        </is>
      </c>
      <c r="B46" s="11">
        <f>IF(Model!$B$21=0,0,$B$44/Model!$B$21)</f>
        <v/>
      </c>
      <c r="C46" t="inlineStr">
        <is>
          <t>x</t>
        </is>
      </c>
    </row>
    <row r="49">
      <c r="A49" s="3" t="inlineStr">
        <is>
          <t>Scenario: retention = Model!A71, ring growth = Model!D70</t>
        </is>
      </c>
    </row>
    <row r="50">
      <c r="A50" s="3" t="inlineStr">
        <is>
          <t>Year</t>
        </is>
      </c>
      <c r="B50" s="3" t="inlineStr">
        <is>
          <t>Unit</t>
        </is>
      </c>
      <c r="C50" s="15" t="n">
        <v>1</v>
      </c>
      <c r="D50" s="15" t="n">
        <v>2</v>
      </c>
      <c r="E50" s="15" t="n">
        <v>3</v>
      </c>
      <c r="F50" s="15" t="n">
        <v>4</v>
      </c>
      <c r="G50" s="15" t="n">
        <v>5</v>
      </c>
      <c r="H50" s="15" t="n">
        <v>6</v>
      </c>
      <c r="I50" s="15" t="n">
        <v>7</v>
      </c>
      <c r="J50" s="15" t="n">
        <v>8</v>
      </c>
      <c r="K50" s="15" t="n">
        <v>9</v>
      </c>
      <c r="L50" s="15" t="n">
        <v>10</v>
      </c>
      <c r="M50" s="3" t="inlineStr">
        <is>
          <t>Terminal</t>
        </is>
      </c>
      <c r="N50" s="3" t="inlineStr">
        <is>
          <t>Total</t>
        </is>
      </c>
    </row>
    <row r="51">
      <c r="A51" t="inlineStr">
        <is>
          <t>Rings sold</t>
        </is>
      </c>
      <c r="B51" t="inlineStr">
        <is>
          <t>M</t>
        </is>
      </c>
      <c r="C51" s="16">
        <f>Model!$B$17*(1+Model!$D$70)^MIN(C$50,Model!$B$26)</f>
        <v/>
      </c>
      <c r="D51" s="16">
        <f>Model!$B$17*(1+Model!$D$70)^MIN(D$50,Model!$B$26)</f>
        <v/>
      </c>
      <c r="E51" s="16">
        <f>Model!$B$17*(1+Model!$D$70)^MIN(E$50,Model!$B$26)</f>
        <v/>
      </c>
      <c r="F51" s="16">
        <f>Model!$B$17*(1+Model!$D$70)^MIN(F$50,Model!$B$26)</f>
        <v/>
      </c>
      <c r="G51" s="16">
        <f>Model!$B$17*(1+Model!$D$70)^MIN(G$50,Model!$B$26)</f>
        <v/>
      </c>
      <c r="H51" s="16">
        <f>Model!$B$17*(1+Model!$D$70)^MIN(H$50,Model!$B$26)</f>
        <v/>
      </c>
      <c r="I51" s="16">
        <f>Model!$B$17*(1+Model!$D$70)^MIN(I$50,Model!$B$26)</f>
        <v/>
      </c>
      <c r="J51" s="16">
        <f>Model!$B$17*(1+Model!$D$70)^MIN(J$50,Model!$B$26)</f>
        <v/>
      </c>
      <c r="K51" s="16">
        <f>Model!$B$17*(1+Model!$D$70)^MIN(K$50,Model!$B$26)</f>
        <v/>
      </c>
      <c r="L51" s="16">
        <f>Model!$B$17*(1+Model!$D$70)^MIN(L$50,Model!$B$26)</f>
        <v/>
      </c>
      <c r="N51" s="17">
        <f>SUM(C51:L51)</f>
        <v/>
      </c>
    </row>
    <row r="52">
      <c r="A52" t="inlineStr">
        <is>
          <t>New paid members</t>
        </is>
      </c>
      <c r="B52" t="inlineStr">
        <is>
          <t>M</t>
        </is>
      </c>
      <c r="C52" s="16">
        <f>C51*(1-Model!$B$13)*Model!$B$12</f>
        <v/>
      </c>
      <c r="D52" s="16">
        <f>D51*(1-Model!$B$13)*Model!$B$12</f>
        <v/>
      </c>
      <c r="E52" s="16">
        <f>E51*(1-Model!$B$13)*Model!$B$12</f>
        <v/>
      </c>
      <c r="F52" s="16">
        <f>F51*(1-Model!$B$13)*Model!$B$12</f>
        <v/>
      </c>
      <c r="G52" s="16">
        <f>G51*(1-Model!$B$13)*Model!$B$12</f>
        <v/>
      </c>
      <c r="H52" s="16">
        <f>H51*(1-Model!$B$13)*Model!$B$12</f>
        <v/>
      </c>
      <c r="I52" s="16">
        <f>I51*(1-Model!$B$13)*Model!$B$12</f>
        <v/>
      </c>
      <c r="J52" s="16">
        <f>J51*(1-Model!$B$13)*Model!$B$12</f>
        <v/>
      </c>
      <c r="K52" s="16">
        <f>K51*(1-Model!$B$13)*Model!$B$12</f>
        <v/>
      </c>
      <c r="L52" s="16">
        <f>L51*(1-Model!$B$13)*Model!$B$12</f>
        <v/>
      </c>
      <c r="N52" s="17">
        <f>SUM(C52:L52)</f>
        <v/>
      </c>
    </row>
    <row r="53">
      <c r="A53" t="inlineStr">
        <is>
          <t>Paid members</t>
        </is>
      </c>
      <c r="B53" t="inlineStr">
        <is>
          <t>M</t>
        </is>
      </c>
      <c r="C53" s="16">
        <f>Model!$B$18*Model!$A$71+C52</f>
        <v/>
      </c>
      <c r="D53" s="16">
        <f>C53*Model!$A$71+D52</f>
        <v/>
      </c>
      <c r="E53" s="16">
        <f>D53*Model!$A$71+E52</f>
        <v/>
      </c>
      <c r="F53" s="16">
        <f>E53*Model!$A$71+F52</f>
        <v/>
      </c>
      <c r="G53" s="16">
        <f>F53*Model!$A$71+G52</f>
        <v/>
      </c>
      <c r="H53" s="16">
        <f>G53*Model!$A$71+H52</f>
        <v/>
      </c>
      <c r="I53" s="16">
        <f>H53*Model!$A$71+I52</f>
        <v/>
      </c>
      <c r="J53" s="16">
        <f>I53*Model!$A$71+J52</f>
        <v/>
      </c>
      <c r="K53" s="16">
        <f>J53*Model!$A$71+K52</f>
        <v/>
      </c>
      <c r="L53" s="16">
        <f>K53*Model!$A$71+L52</f>
        <v/>
      </c>
    </row>
    <row r="54">
      <c r="A54" t="inlineStr">
        <is>
          <t>Revenue (hardware + membership)</t>
        </is>
      </c>
      <c r="B54" t="inlineStr">
        <is>
          <t>$M</t>
        </is>
      </c>
      <c r="C54" s="18">
        <f>C51*Model!$B$8+C53*IF(Model!$A$71&gt;0,1,0)*Model!$B$10</f>
        <v/>
      </c>
      <c r="D54" s="18">
        <f>D51*Model!$B$8+D53*IF(Model!$A$71&gt;0,1,0)*Model!$B$10</f>
        <v/>
      </c>
      <c r="E54" s="18">
        <f>E51*Model!$B$8+E53*IF(Model!$A$71&gt;0,1,0)*Model!$B$10</f>
        <v/>
      </c>
      <c r="F54" s="18">
        <f>F51*Model!$B$8+F53*IF(Model!$A$71&gt;0,1,0)*Model!$B$10</f>
        <v/>
      </c>
      <c r="G54" s="18">
        <f>G51*Model!$B$8+G53*IF(Model!$A$71&gt;0,1,0)*Model!$B$10</f>
        <v/>
      </c>
      <c r="H54" s="18">
        <f>H51*Model!$B$8+H53*IF(Model!$A$71&gt;0,1,0)*Model!$B$10</f>
        <v/>
      </c>
      <c r="I54" s="18">
        <f>I51*Model!$B$8+I53*IF(Model!$A$71&gt;0,1,0)*Model!$B$10</f>
        <v/>
      </c>
      <c r="J54" s="18">
        <f>J51*Model!$B$8+J53*IF(Model!$A$71&gt;0,1,0)*Model!$B$10</f>
        <v/>
      </c>
      <c r="K54" s="18">
        <f>K51*Model!$B$8+K53*IF(Model!$A$71&gt;0,1,0)*Model!$B$10</f>
        <v/>
      </c>
      <c r="L54" s="18">
        <f>L51*Model!$B$8+L53*IF(Model!$A$71&gt;0,1,0)*Model!$B$10</f>
        <v/>
      </c>
      <c r="N54" s="19">
        <f>SUM(C54:L54)</f>
        <v/>
      </c>
    </row>
    <row r="55">
      <c r="A55" t="inlineStr">
        <is>
          <t>Membership gross profit</t>
        </is>
      </c>
      <c r="B55" t="inlineStr">
        <is>
          <t>$M</t>
        </is>
      </c>
      <c r="C55" s="18">
        <f>C53*IF(Model!$A$71&gt;0,1,0)*Model!$B$10*Model!$B$11</f>
        <v/>
      </c>
      <c r="D55" s="18">
        <f>D53*IF(Model!$A$71&gt;0,1,0)*Model!$B$10*Model!$B$11</f>
        <v/>
      </c>
      <c r="E55" s="18">
        <f>E53*IF(Model!$A$71&gt;0,1,0)*Model!$B$10*Model!$B$11</f>
        <v/>
      </c>
      <c r="F55" s="18">
        <f>F53*IF(Model!$A$71&gt;0,1,0)*Model!$B$10*Model!$B$11</f>
        <v/>
      </c>
      <c r="G55" s="18">
        <f>G53*IF(Model!$A$71&gt;0,1,0)*Model!$B$10*Model!$B$11</f>
        <v/>
      </c>
      <c r="H55" s="18">
        <f>H53*IF(Model!$A$71&gt;0,1,0)*Model!$B$10*Model!$B$11</f>
        <v/>
      </c>
      <c r="I55" s="18">
        <f>I53*IF(Model!$A$71&gt;0,1,0)*Model!$B$10*Model!$B$11</f>
        <v/>
      </c>
      <c r="J55" s="18">
        <f>J53*IF(Model!$A$71&gt;0,1,0)*Model!$B$10*Model!$B$11</f>
        <v/>
      </c>
      <c r="K55" s="18">
        <f>K53*IF(Model!$A$71&gt;0,1,0)*Model!$B$10*Model!$B$11</f>
        <v/>
      </c>
      <c r="L55" s="18">
        <f>L53*IF(Model!$A$71&gt;0,1,0)*Model!$B$10*Model!$B$11</f>
        <v/>
      </c>
      <c r="N55" s="19">
        <f>SUM(C55:L55)</f>
        <v/>
      </c>
    </row>
    <row r="56">
      <c r="A56" t="inlineStr">
        <is>
          <t>Hardware contribution</t>
        </is>
      </c>
      <c r="B56" t="inlineStr">
        <is>
          <t>$M</t>
        </is>
      </c>
      <c r="C56" s="18">
        <f>C51*Model!$B$34</f>
        <v/>
      </c>
      <c r="D56" s="18">
        <f>D51*Model!$B$34</f>
        <v/>
      </c>
      <c r="E56" s="18">
        <f>E51*Model!$B$34</f>
        <v/>
      </c>
      <c r="F56" s="18">
        <f>F51*Model!$B$34</f>
        <v/>
      </c>
      <c r="G56" s="18">
        <f>G51*Model!$B$34</f>
        <v/>
      </c>
      <c r="H56" s="18">
        <f>H51*Model!$B$34</f>
        <v/>
      </c>
      <c r="I56" s="18">
        <f>I51*Model!$B$34</f>
        <v/>
      </c>
      <c r="J56" s="18">
        <f>J51*Model!$B$34</f>
        <v/>
      </c>
      <c r="K56" s="18">
        <f>K51*Model!$B$34</f>
        <v/>
      </c>
      <c r="L56" s="18">
        <f>L51*Model!$B$34</f>
        <v/>
      </c>
      <c r="N56" s="19">
        <f>SUM(C56:L56)</f>
        <v/>
      </c>
    </row>
    <row r="57">
      <c r="A57" t="inlineStr">
        <is>
          <t>Fixed costs (R&amp;D + G&amp;A)</t>
        </is>
      </c>
      <c r="B57" t="inlineStr">
        <is>
          <t>$M</t>
        </is>
      </c>
      <c r="C57" s="18">
        <f>Model!$B$19*(1+Model!$B$27)^MIN(C$50,Model!$B$26)</f>
        <v/>
      </c>
      <c r="D57" s="18">
        <f>Model!$B$19*(1+Model!$B$27)^MIN(D$50,Model!$B$26)</f>
        <v/>
      </c>
      <c r="E57" s="18">
        <f>Model!$B$19*(1+Model!$B$27)^MIN(E$50,Model!$B$26)</f>
        <v/>
      </c>
      <c r="F57" s="18">
        <f>Model!$B$19*(1+Model!$B$27)^MIN(F$50,Model!$B$26)</f>
        <v/>
      </c>
      <c r="G57" s="18">
        <f>Model!$B$19*(1+Model!$B$27)^MIN(G$50,Model!$B$26)</f>
        <v/>
      </c>
      <c r="H57" s="18">
        <f>Model!$B$19*(1+Model!$B$27)^MIN(H$50,Model!$B$26)</f>
        <v/>
      </c>
      <c r="I57" s="18">
        <f>Model!$B$19*(1+Model!$B$27)^MIN(I$50,Model!$B$26)</f>
        <v/>
      </c>
      <c r="J57" s="18">
        <f>Model!$B$19*(1+Model!$B$27)^MIN(J$50,Model!$B$26)</f>
        <v/>
      </c>
      <c r="K57" s="18">
        <f>Model!$B$19*(1+Model!$B$27)^MIN(K$50,Model!$B$26)</f>
        <v/>
      </c>
      <c r="L57" s="18">
        <f>Model!$B$19*(1+Model!$B$27)^MIN(L$50,Model!$B$26)</f>
        <v/>
      </c>
      <c r="N57" s="19">
        <f>SUM(C57:L57)</f>
        <v/>
      </c>
    </row>
    <row r="58">
      <c r="A58" t="inlineStr">
        <is>
          <t>Operating profit  ⚠ full-year membership credit in every cohort's acquisition year (see the year-one flag on the web page); reported nine-month income from operations was $71.2M</t>
        </is>
      </c>
      <c r="B58" t="inlineStr">
        <is>
          <t>$M</t>
        </is>
      </c>
      <c r="C58" s="18">
        <f>C55+C56-C57</f>
        <v/>
      </c>
      <c r="D58" s="18">
        <f>D55+D56-D57</f>
        <v/>
      </c>
      <c r="E58" s="18">
        <f>E55+E56-E57</f>
        <v/>
      </c>
      <c r="F58" s="18">
        <f>F55+F56-F57</f>
        <v/>
      </c>
      <c r="G58" s="18">
        <f>G55+G56-G57</f>
        <v/>
      </c>
      <c r="H58" s="18">
        <f>H55+H56-H57</f>
        <v/>
      </c>
      <c r="I58" s="18">
        <f>I55+I56-I57</f>
        <v/>
      </c>
      <c r="J58" s="18">
        <f>J55+J56-J57</f>
        <v/>
      </c>
      <c r="K58" s="18">
        <f>K55+K56-K57</f>
        <v/>
      </c>
      <c r="L58" s="18">
        <f>L55+L56-L57</f>
        <v/>
      </c>
      <c r="N58" s="19">
        <f>SUM(C58:L58)</f>
        <v/>
      </c>
    </row>
    <row r="59">
      <c r="A59" t="inlineStr">
        <is>
          <t>Operating margin</t>
        </is>
      </c>
      <c r="B59" t="inlineStr">
        <is>
          <t>fraction</t>
        </is>
      </c>
      <c r="C59" s="20">
        <f>IF(C54=0,0,C58/C54)</f>
        <v/>
      </c>
      <c r="D59" s="20">
        <f>IF(D54=0,0,D58/D54)</f>
        <v/>
      </c>
      <c r="E59" s="20">
        <f>IF(E54=0,0,E58/E54)</f>
        <v/>
      </c>
      <c r="F59" s="20">
        <f>IF(F54=0,0,F58/F54)</f>
        <v/>
      </c>
      <c r="G59" s="20">
        <f>IF(G54=0,0,G58/G54)</f>
        <v/>
      </c>
      <c r="H59" s="20">
        <f>IF(H54=0,0,H58/H54)</f>
        <v/>
      </c>
      <c r="I59" s="20">
        <f>IF(I54=0,0,I58/I54)</f>
        <v/>
      </c>
      <c r="J59" s="20">
        <f>IF(J54=0,0,J58/J54)</f>
        <v/>
      </c>
      <c r="K59" s="20">
        <f>IF(K54=0,0,K58/K54)</f>
        <v/>
      </c>
      <c r="L59" s="20">
        <f>IF(L54=0,0,L58/L54)</f>
        <v/>
      </c>
    </row>
    <row r="60">
      <c r="A60" t="inlineStr">
        <is>
          <t>Tax</t>
        </is>
      </c>
      <c r="B60" t="inlineStr">
        <is>
          <t>$M</t>
        </is>
      </c>
      <c r="C60" s="18">
        <f>MAX(0,C58)*Model!$B$23</f>
        <v/>
      </c>
      <c r="D60" s="18">
        <f>MAX(0,D58)*Model!$B$23</f>
        <v/>
      </c>
      <c r="E60" s="18">
        <f>MAX(0,E58)*Model!$B$23</f>
        <v/>
      </c>
      <c r="F60" s="18">
        <f>MAX(0,F58)*Model!$B$23</f>
        <v/>
      </c>
      <c r="G60" s="18">
        <f>MAX(0,G58)*Model!$B$23</f>
        <v/>
      </c>
      <c r="H60" s="18">
        <f>MAX(0,H58)*Model!$B$23</f>
        <v/>
      </c>
      <c r="I60" s="18">
        <f>MAX(0,I58)*Model!$B$23</f>
        <v/>
      </c>
      <c r="J60" s="18">
        <f>MAX(0,J58)*Model!$B$23</f>
        <v/>
      </c>
      <c r="K60" s="18">
        <f>MAX(0,K58)*Model!$B$23</f>
        <v/>
      </c>
      <c r="L60" s="18">
        <f>MAX(0,L58)*Model!$B$23</f>
        <v/>
      </c>
      <c r="N60" s="19">
        <f>SUM(C60:L60)</f>
        <v/>
      </c>
    </row>
    <row r="61">
      <c r="A61" t="inlineStr">
        <is>
          <t>After-tax cash flow</t>
        </is>
      </c>
      <c r="B61" t="inlineStr">
        <is>
          <t>$M</t>
        </is>
      </c>
      <c r="C61" s="18">
        <f>C58-C60</f>
        <v/>
      </c>
      <c r="D61" s="18">
        <f>D58-D60</f>
        <v/>
      </c>
      <c r="E61" s="18">
        <f>E58-E60</f>
        <v/>
      </c>
      <c r="F61" s="18">
        <f>F58-F60</f>
        <v/>
      </c>
      <c r="G61" s="18">
        <f>G58-G60</f>
        <v/>
      </c>
      <c r="H61" s="18">
        <f>H58-H60</f>
        <v/>
      </c>
      <c r="I61" s="18">
        <f>I58-I60</f>
        <v/>
      </c>
      <c r="J61" s="18">
        <f>J58-J60</f>
        <v/>
      </c>
      <c r="K61" s="18">
        <f>K58-K60</f>
        <v/>
      </c>
      <c r="L61" s="18">
        <f>L58-L60</f>
        <v/>
      </c>
      <c r="N61" s="19">
        <f>SUM(C61:L61)</f>
        <v/>
      </c>
    </row>
    <row r="62">
      <c r="A62" t="inlineStr">
        <is>
          <t>Present value</t>
        </is>
      </c>
      <c r="B62" t="inlineStr">
        <is>
          <t>$M</t>
        </is>
      </c>
      <c r="C62" s="18">
        <f>C61/(1+Model!$B$24)^C$50</f>
        <v/>
      </c>
      <c r="D62" s="18">
        <f>D61/(1+Model!$B$24)^D$50</f>
        <v/>
      </c>
      <c r="E62" s="18">
        <f>E61/(1+Model!$B$24)^E$50</f>
        <v/>
      </c>
      <c r="F62" s="18">
        <f>F61/(1+Model!$B$24)^F$50</f>
        <v/>
      </c>
      <c r="G62" s="18">
        <f>G61/(1+Model!$B$24)^G$50</f>
        <v/>
      </c>
      <c r="H62" s="18">
        <f>H61/(1+Model!$B$24)^H$50</f>
        <v/>
      </c>
      <c r="I62" s="18">
        <f>I61/(1+Model!$B$24)^I$50</f>
        <v/>
      </c>
      <c r="J62" s="18">
        <f>J61/(1+Model!$B$24)^J$50</f>
        <v/>
      </c>
      <c r="K62" s="18">
        <f>K61/(1+Model!$B$24)^K$50</f>
        <v/>
      </c>
      <c r="L62" s="18">
        <f>L61/(1+Model!$B$24)^L$50</f>
        <v/>
      </c>
      <c r="M62" s="18">
        <f>IF(ISNUMBER($B$66),$B$66,"excluded (undefined)")</f>
        <v/>
      </c>
      <c r="N62" s="19">
        <f>SUM(C62:L62)</f>
        <v/>
      </c>
    </row>
    <row r="64">
      <c r="A64" s="21" t="inlineStr">
        <is>
          <t>Sum of present values, years 1-10</t>
        </is>
      </c>
      <c r="B64" s="22">
        <f>SUM(C62:L62)</f>
        <v/>
      </c>
      <c r="C64" t="inlineStr">
        <is>
          <t>$M</t>
        </is>
      </c>
    </row>
    <row r="65">
      <c r="A65" s="21" t="inlineStr">
        <is>
          <t>Terminal value at year 10</t>
        </is>
      </c>
      <c r="B65" s="22">
        <f>IF(Model!$B$24&gt;Model!$B$28,L61*(1+Model!$B$28)/(Model!$B$24-Model!$B$28),"terminal value undefined: discount rate must exceed terminal growth")</f>
        <v/>
      </c>
      <c r="C65" t="inlineStr">
        <is>
          <t>$M</t>
        </is>
      </c>
    </row>
    <row r="66">
      <c r="A66" s="21" t="inlineStr">
        <is>
          <t>Present value of terminal value</t>
        </is>
      </c>
      <c r="B66" s="22">
        <f>IF(ISNUMBER($B$65),$B$65/(1+Model!$B$24)^L$50,"excluded (undefined)")</f>
        <v/>
      </c>
      <c r="C66" t="inlineStr">
        <is>
          <t>$M</t>
        </is>
      </c>
    </row>
    <row r="67">
      <c r="A67" s="3" t="inlineStr">
        <is>
          <t>Equity value</t>
        </is>
      </c>
      <c r="B67" s="23">
        <f>$B$64+IF(ISNUMBER($B$66),$B$66,0)-Model!$B$20</f>
        <v/>
      </c>
      <c r="C67" t="inlineStr">
        <is>
          <t>$M</t>
        </is>
      </c>
    </row>
    <row r="68">
      <c r="A68" s="21" t="inlineStr">
        <is>
          <t>Terminal value as share of equity value</t>
        </is>
      </c>
      <c r="B68" s="24">
        <f>IF(ISNUMBER($B$66),IF($B$67=0,"n/a (equity value is 0)",$B$66/$B$67),"excluded (undefined)")</f>
        <v/>
      </c>
      <c r="C68" t="inlineStr">
        <is>
          <t>fraction</t>
        </is>
      </c>
    </row>
    <row r="69">
      <c r="A69" s="21" t="inlineStr">
        <is>
          <t>Equity value / TTM revenue (price-to-sales)</t>
        </is>
      </c>
      <c r="B69" s="11">
        <f>IF(Model!$B$21=0,0,$B$67/Model!$B$21)</f>
        <v/>
      </c>
      <c r="C69" t="inlineStr">
        <is>
          <t>x</t>
        </is>
      </c>
    </row>
    <row r="72">
      <c r="A72" s="3" t="inlineStr">
        <is>
          <t>Scenario: retention = Model!A71, ring growth = Model!E70</t>
        </is>
      </c>
    </row>
    <row r="73">
      <c r="A73" s="3" t="inlineStr">
        <is>
          <t>Year</t>
        </is>
      </c>
      <c r="B73" s="3" t="inlineStr">
        <is>
          <t>Unit</t>
        </is>
      </c>
      <c r="C73" s="15" t="n">
        <v>1</v>
      </c>
      <c r="D73" s="15" t="n">
        <v>2</v>
      </c>
      <c r="E73" s="15" t="n">
        <v>3</v>
      </c>
      <c r="F73" s="15" t="n">
        <v>4</v>
      </c>
      <c r="G73" s="15" t="n">
        <v>5</v>
      </c>
      <c r="H73" s="15" t="n">
        <v>6</v>
      </c>
      <c r="I73" s="15" t="n">
        <v>7</v>
      </c>
      <c r="J73" s="15" t="n">
        <v>8</v>
      </c>
      <c r="K73" s="15" t="n">
        <v>9</v>
      </c>
      <c r="L73" s="15" t="n">
        <v>10</v>
      </c>
      <c r="M73" s="3" t="inlineStr">
        <is>
          <t>Terminal</t>
        </is>
      </c>
      <c r="N73" s="3" t="inlineStr">
        <is>
          <t>Total</t>
        </is>
      </c>
    </row>
    <row r="74">
      <c r="A74" t="inlineStr">
        <is>
          <t>Rings sold</t>
        </is>
      </c>
      <c r="B74" t="inlineStr">
        <is>
          <t>M</t>
        </is>
      </c>
      <c r="C74" s="16">
        <f>Model!$B$17*(1+Model!$E$70)^MIN(C$73,Model!$B$26)</f>
        <v/>
      </c>
      <c r="D74" s="16">
        <f>Model!$B$17*(1+Model!$E$70)^MIN(D$73,Model!$B$26)</f>
        <v/>
      </c>
      <c r="E74" s="16">
        <f>Model!$B$17*(1+Model!$E$70)^MIN(E$73,Model!$B$26)</f>
        <v/>
      </c>
      <c r="F74" s="16">
        <f>Model!$B$17*(1+Model!$E$70)^MIN(F$73,Model!$B$26)</f>
        <v/>
      </c>
      <c r="G74" s="16">
        <f>Model!$B$17*(1+Model!$E$70)^MIN(G$73,Model!$B$26)</f>
        <v/>
      </c>
      <c r="H74" s="16">
        <f>Model!$B$17*(1+Model!$E$70)^MIN(H$73,Model!$B$26)</f>
        <v/>
      </c>
      <c r="I74" s="16">
        <f>Model!$B$17*(1+Model!$E$70)^MIN(I$73,Model!$B$26)</f>
        <v/>
      </c>
      <c r="J74" s="16">
        <f>Model!$B$17*(1+Model!$E$70)^MIN(J$73,Model!$B$26)</f>
        <v/>
      </c>
      <c r="K74" s="16">
        <f>Model!$B$17*(1+Model!$E$70)^MIN(K$73,Model!$B$26)</f>
        <v/>
      </c>
      <c r="L74" s="16">
        <f>Model!$B$17*(1+Model!$E$70)^MIN(L$73,Model!$B$26)</f>
        <v/>
      </c>
      <c r="N74" s="17">
        <f>SUM(C74:L74)</f>
        <v/>
      </c>
    </row>
    <row r="75">
      <c r="A75" t="inlineStr">
        <is>
          <t>New paid members</t>
        </is>
      </c>
      <c r="B75" t="inlineStr">
        <is>
          <t>M</t>
        </is>
      </c>
      <c r="C75" s="16">
        <f>C74*(1-Model!$B$13)*Model!$B$12</f>
        <v/>
      </c>
      <c r="D75" s="16">
        <f>D74*(1-Model!$B$13)*Model!$B$12</f>
        <v/>
      </c>
      <c r="E75" s="16">
        <f>E74*(1-Model!$B$13)*Model!$B$12</f>
        <v/>
      </c>
      <c r="F75" s="16">
        <f>F74*(1-Model!$B$13)*Model!$B$12</f>
        <v/>
      </c>
      <c r="G75" s="16">
        <f>G74*(1-Model!$B$13)*Model!$B$12</f>
        <v/>
      </c>
      <c r="H75" s="16">
        <f>H74*(1-Model!$B$13)*Model!$B$12</f>
        <v/>
      </c>
      <c r="I75" s="16">
        <f>I74*(1-Model!$B$13)*Model!$B$12</f>
        <v/>
      </c>
      <c r="J75" s="16">
        <f>J74*(1-Model!$B$13)*Model!$B$12</f>
        <v/>
      </c>
      <c r="K75" s="16">
        <f>K74*(1-Model!$B$13)*Model!$B$12</f>
        <v/>
      </c>
      <c r="L75" s="16">
        <f>L74*(1-Model!$B$13)*Model!$B$12</f>
        <v/>
      </c>
      <c r="N75" s="17">
        <f>SUM(C75:L75)</f>
        <v/>
      </c>
    </row>
    <row r="76">
      <c r="A76" t="inlineStr">
        <is>
          <t>Paid members</t>
        </is>
      </c>
      <c r="B76" t="inlineStr">
        <is>
          <t>M</t>
        </is>
      </c>
      <c r="C76" s="16">
        <f>Model!$B$18*Model!$A$71+C75</f>
        <v/>
      </c>
      <c r="D76" s="16">
        <f>C76*Model!$A$71+D75</f>
        <v/>
      </c>
      <c r="E76" s="16">
        <f>D76*Model!$A$71+E75</f>
        <v/>
      </c>
      <c r="F76" s="16">
        <f>E76*Model!$A$71+F75</f>
        <v/>
      </c>
      <c r="G76" s="16">
        <f>F76*Model!$A$71+G75</f>
        <v/>
      </c>
      <c r="H76" s="16">
        <f>G76*Model!$A$71+H75</f>
        <v/>
      </c>
      <c r="I76" s="16">
        <f>H76*Model!$A$71+I75</f>
        <v/>
      </c>
      <c r="J76" s="16">
        <f>I76*Model!$A$71+J75</f>
        <v/>
      </c>
      <c r="K76" s="16">
        <f>J76*Model!$A$71+K75</f>
        <v/>
      </c>
      <c r="L76" s="16">
        <f>K76*Model!$A$71+L75</f>
        <v/>
      </c>
    </row>
    <row r="77">
      <c r="A77" t="inlineStr">
        <is>
          <t>Revenue (hardware + membership)</t>
        </is>
      </c>
      <c r="B77" t="inlineStr">
        <is>
          <t>$M</t>
        </is>
      </c>
      <c r="C77" s="18">
        <f>C74*Model!$B$8+C76*IF(Model!$A$71&gt;0,1,0)*Model!$B$10</f>
        <v/>
      </c>
      <c r="D77" s="18">
        <f>D74*Model!$B$8+D76*IF(Model!$A$71&gt;0,1,0)*Model!$B$10</f>
        <v/>
      </c>
      <c r="E77" s="18">
        <f>E74*Model!$B$8+E76*IF(Model!$A$71&gt;0,1,0)*Model!$B$10</f>
        <v/>
      </c>
      <c r="F77" s="18">
        <f>F74*Model!$B$8+F76*IF(Model!$A$71&gt;0,1,0)*Model!$B$10</f>
        <v/>
      </c>
      <c r="G77" s="18">
        <f>G74*Model!$B$8+G76*IF(Model!$A$71&gt;0,1,0)*Model!$B$10</f>
        <v/>
      </c>
      <c r="H77" s="18">
        <f>H74*Model!$B$8+H76*IF(Model!$A$71&gt;0,1,0)*Model!$B$10</f>
        <v/>
      </c>
      <c r="I77" s="18">
        <f>I74*Model!$B$8+I76*IF(Model!$A$71&gt;0,1,0)*Model!$B$10</f>
        <v/>
      </c>
      <c r="J77" s="18">
        <f>J74*Model!$B$8+J76*IF(Model!$A$71&gt;0,1,0)*Model!$B$10</f>
        <v/>
      </c>
      <c r="K77" s="18">
        <f>K74*Model!$B$8+K76*IF(Model!$A$71&gt;0,1,0)*Model!$B$10</f>
        <v/>
      </c>
      <c r="L77" s="18">
        <f>L74*Model!$B$8+L76*IF(Model!$A$71&gt;0,1,0)*Model!$B$10</f>
        <v/>
      </c>
      <c r="N77" s="19">
        <f>SUM(C77:L77)</f>
        <v/>
      </c>
    </row>
    <row r="78">
      <c r="A78" t="inlineStr">
        <is>
          <t>Membership gross profit</t>
        </is>
      </c>
      <c r="B78" t="inlineStr">
        <is>
          <t>$M</t>
        </is>
      </c>
      <c r="C78" s="18">
        <f>C76*IF(Model!$A$71&gt;0,1,0)*Model!$B$10*Model!$B$11</f>
        <v/>
      </c>
      <c r="D78" s="18">
        <f>D76*IF(Model!$A$71&gt;0,1,0)*Model!$B$10*Model!$B$11</f>
        <v/>
      </c>
      <c r="E78" s="18">
        <f>E76*IF(Model!$A$71&gt;0,1,0)*Model!$B$10*Model!$B$11</f>
        <v/>
      </c>
      <c r="F78" s="18">
        <f>F76*IF(Model!$A$71&gt;0,1,0)*Model!$B$10*Model!$B$11</f>
        <v/>
      </c>
      <c r="G78" s="18">
        <f>G76*IF(Model!$A$71&gt;0,1,0)*Model!$B$10*Model!$B$11</f>
        <v/>
      </c>
      <c r="H78" s="18">
        <f>H76*IF(Model!$A$71&gt;0,1,0)*Model!$B$10*Model!$B$11</f>
        <v/>
      </c>
      <c r="I78" s="18">
        <f>I76*IF(Model!$A$71&gt;0,1,0)*Model!$B$10*Model!$B$11</f>
        <v/>
      </c>
      <c r="J78" s="18">
        <f>J76*IF(Model!$A$71&gt;0,1,0)*Model!$B$10*Model!$B$11</f>
        <v/>
      </c>
      <c r="K78" s="18">
        <f>K76*IF(Model!$A$71&gt;0,1,0)*Model!$B$10*Model!$B$11</f>
        <v/>
      </c>
      <c r="L78" s="18">
        <f>L76*IF(Model!$A$71&gt;0,1,0)*Model!$B$10*Model!$B$11</f>
        <v/>
      </c>
      <c r="N78" s="19">
        <f>SUM(C78:L78)</f>
        <v/>
      </c>
    </row>
    <row r="79">
      <c r="A79" t="inlineStr">
        <is>
          <t>Hardware contribution</t>
        </is>
      </c>
      <c r="B79" t="inlineStr">
        <is>
          <t>$M</t>
        </is>
      </c>
      <c r="C79" s="18">
        <f>C74*Model!$B$34</f>
        <v/>
      </c>
      <c r="D79" s="18">
        <f>D74*Model!$B$34</f>
        <v/>
      </c>
      <c r="E79" s="18">
        <f>E74*Model!$B$34</f>
        <v/>
      </c>
      <c r="F79" s="18">
        <f>F74*Model!$B$34</f>
        <v/>
      </c>
      <c r="G79" s="18">
        <f>G74*Model!$B$34</f>
        <v/>
      </c>
      <c r="H79" s="18">
        <f>H74*Model!$B$34</f>
        <v/>
      </c>
      <c r="I79" s="18">
        <f>I74*Model!$B$34</f>
        <v/>
      </c>
      <c r="J79" s="18">
        <f>J74*Model!$B$34</f>
        <v/>
      </c>
      <c r="K79" s="18">
        <f>K74*Model!$B$34</f>
        <v/>
      </c>
      <c r="L79" s="18">
        <f>L74*Model!$B$34</f>
        <v/>
      </c>
      <c r="N79" s="19">
        <f>SUM(C79:L79)</f>
        <v/>
      </c>
    </row>
    <row r="80">
      <c r="A80" t="inlineStr">
        <is>
          <t>Fixed costs (R&amp;D + G&amp;A)</t>
        </is>
      </c>
      <c r="B80" t="inlineStr">
        <is>
          <t>$M</t>
        </is>
      </c>
      <c r="C80" s="18">
        <f>Model!$B$19*(1+Model!$B$27)^MIN(C$73,Model!$B$26)</f>
        <v/>
      </c>
      <c r="D80" s="18">
        <f>Model!$B$19*(1+Model!$B$27)^MIN(D$73,Model!$B$26)</f>
        <v/>
      </c>
      <c r="E80" s="18">
        <f>Model!$B$19*(1+Model!$B$27)^MIN(E$73,Model!$B$26)</f>
        <v/>
      </c>
      <c r="F80" s="18">
        <f>Model!$B$19*(1+Model!$B$27)^MIN(F$73,Model!$B$26)</f>
        <v/>
      </c>
      <c r="G80" s="18">
        <f>Model!$B$19*(1+Model!$B$27)^MIN(G$73,Model!$B$26)</f>
        <v/>
      </c>
      <c r="H80" s="18">
        <f>Model!$B$19*(1+Model!$B$27)^MIN(H$73,Model!$B$26)</f>
        <v/>
      </c>
      <c r="I80" s="18">
        <f>Model!$B$19*(1+Model!$B$27)^MIN(I$73,Model!$B$26)</f>
        <v/>
      </c>
      <c r="J80" s="18">
        <f>Model!$B$19*(1+Model!$B$27)^MIN(J$73,Model!$B$26)</f>
        <v/>
      </c>
      <c r="K80" s="18">
        <f>Model!$B$19*(1+Model!$B$27)^MIN(K$73,Model!$B$26)</f>
        <v/>
      </c>
      <c r="L80" s="18">
        <f>Model!$B$19*(1+Model!$B$27)^MIN(L$73,Model!$B$26)</f>
        <v/>
      </c>
      <c r="N80" s="19">
        <f>SUM(C80:L80)</f>
        <v/>
      </c>
    </row>
    <row r="81">
      <c r="A81" t="inlineStr">
        <is>
          <t>Operating profit  ⚠ full-year membership credit in every cohort's acquisition year (see the year-one flag on the web page); reported nine-month income from operations was $71.2M</t>
        </is>
      </c>
      <c r="B81" t="inlineStr">
        <is>
          <t>$M</t>
        </is>
      </c>
      <c r="C81" s="18">
        <f>C78+C79-C80</f>
        <v/>
      </c>
      <c r="D81" s="18">
        <f>D78+D79-D80</f>
        <v/>
      </c>
      <c r="E81" s="18">
        <f>E78+E79-E80</f>
        <v/>
      </c>
      <c r="F81" s="18">
        <f>F78+F79-F80</f>
        <v/>
      </c>
      <c r="G81" s="18">
        <f>G78+G79-G80</f>
        <v/>
      </c>
      <c r="H81" s="18">
        <f>H78+H79-H80</f>
        <v/>
      </c>
      <c r="I81" s="18">
        <f>I78+I79-I80</f>
        <v/>
      </c>
      <c r="J81" s="18">
        <f>J78+J79-J80</f>
        <v/>
      </c>
      <c r="K81" s="18">
        <f>K78+K79-K80</f>
        <v/>
      </c>
      <c r="L81" s="18">
        <f>L78+L79-L80</f>
        <v/>
      </c>
      <c r="N81" s="19">
        <f>SUM(C81:L81)</f>
        <v/>
      </c>
    </row>
    <row r="82">
      <c r="A82" t="inlineStr">
        <is>
          <t>Operating margin</t>
        </is>
      </c>
      <c r="B82" t="inlineStr">
        <is>
          <t>fraction</t>
        </is>
      </c>
      <c r="C82" s="20">
        <f>IF(C77=0,0,C81/C77)</f>
        <v/>
      </c>
      <c r="D82" s="20">
        <f>IF(D77=0,0,D81/D77)</f>
        <v/>
      </c>
      <c r="E82" s="20">
        <f>IF(E77=0,0,E81/E77)</f>
        <v/>
      </c>
      <c r="F82" s="20">
        <f>IF(F77=0,0,F81/F77)</f>
        <v/>
      </c>
      <c r="G82" s="20">
        <f>IF(G77=0,0,G81/G77)</f>
        <v/>
      </c>
      <c r="H82" s="20">
        <f>IF(H77=0,0,H81/H77)</f>
        <v/>
      </c>
      <c r="I82" s="20">
        <f>IF(I77=0,0,I81/I77)</f>
        <v/>
      </c>
      <c r="J82" s="20">
        <f>IF(J77=0,0,J81/J77)</f>
        <v/>
      </c>
      <c r="K82" s="20">
        <f>IF(K77=0,0,K81/K77)</f>
        <v/>
      </c>
      <c r="L82" s="20">
        <f>IF(L77=0,0,L81/L77)</f>
        <v/>
      </c>
    </row>
    <row r="83">
      <c r="A83" t="inlineStr">
        <is>
          <t>Tax</t>
        </is>
      </c>
      <c r="B83" t="inlineStr">
        <is>
          <t>$M</t>
        </is>
      </c>
      <c r="C83" s="18">
        <f>MAX(0,C81)*Model!$B$23</f>
        <v/>
      </c>
      <c r="D83" s="18">
        <f>MAX(0,D81)*Model!$B$23</f>
        <v/>
      </c>
      <c r="E83" s="18">
        <f>MAX(0,E81)*Model!$B$23</f>
        <v/>
      </c>
      <c r="F83" s="18">
        <f>MAX(0,F81)*Model!$B$23</f>
        <v/>
      </c>
      <c r="G83" s="18">
        <f>MAX(0,G81)*Model!$B$23</f>
        <v/>
      </c>
      <c r="H83" s="18">
        <f>MAX(0,H81)*Model!$B$23</f>
        <v/>
      </c>
      <c r="I83" s="18">
        <f>MAX(0,I81)*Model!$B$23</f>
        <v/>
      </c>
      <c r="J83" s="18">
        <f>MAX(0,J81)*Model!$B$23</f>
        <v/>
      </c>
      <c r="K83" s="18">
        <f>MAX(0,K81)*Model!$B$23</f>
        <v/>
      </c>
      <c r="L83" s="18">
        <f>MAX(0,L81)*Model!$B$23</f>
        <v/>
      </c>
      <c r="N83" s="19">
        <f>SUM(C83:L83)</f>
        <v/>
      </c>
    </row>
    <row r="84">
      <c r="A84" t="inlineStr">
        <is>
          <t>After-tax cash flow</t>
        </is>
      </c>
      <c r="B84" t="inlineStr">
        <is>
          <t>$M</t>
        </is>
      </c>
      <c r="C84" s="18">
        <f>C81-C83</f>
        <v/>
      </c>
      <c r="D84" s="18">
        <f>D81-D83</f>
        <v/>
      </c>
      <c r="E84" s="18">
        <f>E81-E83</f>
        <v/>
      </c>
      <c r="F84" s="18">
        <f>F81-F83</f>
        <v/>
      </c>
      <c r="G84" s="18">
        <f>G81-G83</f>
        <v/>
      </c>
      <c r="H84" s="18">
        <f>H81-H83</f>
        <v/>
      </c>
      <c r="I84" s="18">
        <f>I81-I83</f>
        <v/>
      </c>
      <c r="J84" s="18">
        <f>J81-J83</f>
        <v/>
      </c>
      <c r="K84" s="18">
        <f>K81-K83</f>
        <v/>
      </c>
      <c r="L84" s="18">
        <f>L81-L83</f>
        <v/>
      </c>
      <c r="N84" s="19">
        <f>SUM(C84:L84)</f>
        <v/>
      </c>
    </row>
    <row r="85">
      <c r="A85" t="inlineStr">
        <is>
          <t>Present value</t>
        </is>
      </c>
      <c r="B85" t="inlineStr">
        <is>
          <t>$M</t>
        </is>
      </c>
      <c r="C85" s="18">
        <f>C84/(1+Model!$B$24)^C$73</f>
        <v/>
      </c>
      <c r="D85" s="18">
        <f>D84/(1+Model!$B$24)^D$73</f>
        <v/>
      </c>
      <c r="E85" s="18">
        <f>E84/(1+Model!$B$24)^E$73</f>
        <v/>
      </c>
      <c r="F85" s="18">
        <f>F84/(1+Model!$B$24)^F$73</f>
        <v/>
      </c>
      <c r="G85" s="18">
        <f>G84/(1+Model!$B$24)^G$73</f>
        <v/>
      </c>
      <c r="H85" s="18">
        <f>H84/(1+Model!$B$24)^H$73</f>
        <v/>
      </c>
      <c r="I85" s="18">
        <f>I84/(1+Model!$B$24)^I$73</f>
        <v/>
      </c>
      <c r="J85" s="18">
        <f>J84/(1+Model!$B$24)^J$73</f>
        <v/>
      </c>
      <c r="K85" s="18">
        <f>K84/(1+Model!$B$24)^K$73</f>
        <v/>
      </c>
      <c r="L85" s="18">
        <f>L84/(1+Model!$B$24)^L$73</f>
        <v/>
      </c>
      <c r="M85" s="18">
        <f>IF(ISNUMBER($B$89),$B$89,"excluded (undefined)")</f>
        <v/>
      </c>
      <c r="N85" s="19">
        <f>SUM(C85:L85)</f>
        <v/>
      </c>
    </row>
    <row r="87">
      <c r="A87" s="21" t="inlineStr">
        <is>
          <t>Sum of present values, years 1-10</t>
        </is>
      </c>
      <c r="B87" s="22">
        <f>SUM(C85:L85)</f>
        <v/>
      </c>
      <c r="C87" t="inlineStr">
        <is>
          <t>$M</t>
        </is>
      </c>
    </row>
    <row r="88">
      <c r="A88" s="21" t="inlineStr">
        <is>
          <t>Terminal value at year 10</t>
        </is>
      </c>
      <c r="B88" s="22">
        <f>IF(Model!$B$24&gt;Model!$B$28,L84*(1+Model!$B$28)/(Model!$B$24-Model!$B$28),"terminal value undefined: discount rate must exceed terminal growth")</f>
        <v/>
      </c>
      <c r="C88" t="inlineStr">
        <is>
          <t>$M</t>
        </is>
      </c>
    </row>
    <row r="89">
      <c r="A89" s="21" t="inlineStr">
        <is>
          <t>Present value of terminal value</t>
        </is>
      </c>
      <c r="B89" s="22">
        <f>IF(ISNUMBER($B$88),$B$88/(1+Model!$B$24)^L$73,"excluded (undefined)")</f>
        <v/>
      </c>
      <c r="C89" t="inlineStr">
        <is>
          <t>$M</t>
        </is>
      </c>
    </row>
    <row r="90">
      <c r="A90" s="3" t="inlineStr">
        <is>
          <t>Equity value</t>
        </is>
      </c>
      <c r="B90" s="23">
        <f>$B$87+IF(ISNUMBER($B$89),$B$89,0)-Model!$B$20</f>
        <v/>
      </c>
      <c r="C90" t="inlineStr">
        <is>
          <t>$M</t>
        </is>
      </c>
    </row>
    <row r="91">
      <c r="A91" s="21" t="inlineStr">
        <is>
          <t>Terminal value as share of equity value</t>
        </is>
      </c>
      <c r="B91" s="24">
        <f>IF(ISNUMBER($B$89),IF($B$90=0,"n/a (equity value is 0)",$B$89/$B$90),"excluded (undefined)")</f>
        <v/>
      </c>
      <c r="C91" t="inlineStr">
        <is>
          <t>fraction</t>
        </is>
      </c>
    </row>
    <row r="92">
      <c r="A92" s="21" t="inlineStr">
        <is>
          <t>Equity value / TTM revenue (price-to-sales)</t>
        </is>
      </c>
      <c r="B92" s="11">
        <f>IF(Model!$B$21=0,0,$B$90/Model!$B$21)</f>
        <v/>
      </c>
      <c r="C92" t="inlineStr">
        <is>
          <t>x</t>
        </is>
      </c>
    </row>
    <row r="95">
      <c r="A95" s="3" t="inlineStr">
        <is>
          <t>Scenario: retention = Model!A72, ring growth = Model!B70</t>
        </is>
      </c>
    </row>
    <row r="96">
      <c r="A96" s="3" t="inlineStr">
        <is>
          <t>Year</t>
        </is>
      </c>
      <c r="B96" s="3" t="inlineStr">
        <is>
          <t>Unit</t>
        </is>
      </c>
      <c r="C96" s="15" t="n">
        <v>1</v>
      </c>
      <c r="D96" s="15" t="n">
        <v>2</v>
      </c>
      <c r="E96" s="15" t="n">
        <v>3</v>
      </c>
      <c r="F96" s="15" t="n">
        <v>4</v>
      </c>
      <c r="G96" s="15" t="n">
        <v>5</v>
      </c>
      <c r="H96" s="15" t="n">
        <v>6</v>
      </c>
      <c r="I96" s="15" t="n">
        <v>7</v>
      </c>
      <c r="J96" s="15" t="n">
        <v>8</v>
      </c>
      <c r="K96" s="15" t="n">
        <v>9</v>
      </c>
      <c r="L96" s="15" t="n">
        <v>10</v>
      </c>
      <c r="M96" s="3" t="inlineStr">
        <is>
          <t>Terminal</t>
        </is>
      </c>
      <c r="N96" s="3" t="inlineStr">
        <is>
          <t>Total</t>
        </is>
      </c>
    </row>
    <row r="97">
      <c r="A97" t="inlineStr">
        <is>
          <t>Rings sold</t>
        </is>
      </c>
      <c r="B97" t="inlineStr">
        <is>
          <t>M</t>
        </is>
      </c>
      <c r="C97" s="16">
        <f>Model!$B$17*(1+Model!$B$70)^MIN(C$96,Model!$B$26)</f>
        <v/>
      </c>
      <c r="D97" s="16">
        <f>Model!$B$17*(1+Model!$B$70)^MIN(D$96,Model!$B$26)</f>
        <v/>
      </c>
      <c r="E97" s="16">
        <f>Model!$B$17*(1+Model!$B$70)^MIN(E$96,Model!$B$26)</f>
        <v/>
      </c>
      <c r="F97" s="16">
        <f>Model!$B$17*(1+Model!$B$70)^MIN(F$96,Model!$B$26)</f>
        <v/>
      </c>
      <c r="G97" s="16">
        <f>Model!$B$17*(1+Model!$B$70)^MIN(G$96,Model!$B$26)</f>
        <v/>
      </c>
      <c r="H97" s="16">
        <f>Model!$B$17*(1+Model!$B$70)^MIN(H$96,Model!$B$26)</f>
        <v/>
      </c>
      <c r="I97" s="16">
        <f>Model!$B$17*(1+Model!$B$70)^MIN(I$96,Model!$B$26)</f>
        <v/>
      </c>
      <c r="J97" s="16">
        <f>Model!$B$17*(1+Model!$B$70)^MIN(J$96,Model!$B$26)</f>
        <v/>
      </c>
      <c r="K97" s="16">
        <f>Model!$B$17*(1+Model!$B$70)^MIN(K$96,Model!$B$26)</f>
        <v/>
      </c>
      <c r="L97" s="16">
        <f>Model!$B$17*(1+Model!$B$70)^MIN(L$96,Model!$B$26)</f>
        <v/>
      </c>
      <c r="N97" s="17">
        <f>SUM(C97:L97)</f>
        <v/>
      </c>
    </row>
    <row r="98">
      <c r="A98" t="inlineStr">
        <is>
          <t>New paid members</t>
        </is>
      </c>
      <c r="B98" t="inlineStr">
        <is>
          <t>M</t>
        </is>
      </c>
      <c r="C98" s="16">
        <f>C97*(1-Model!$B$13)*Model!$B$12</f>
        <v/>
      </c>
      <c r="D98" s="16">
        <f>D97*(1-Model!$B$13)*Model!$B$12</f>
        <v/>
      </c>
      <c r="E98" s="16">
        <f>E97*(1-Model!$B$13)*Model!$B$12</f>
        <v/>
      </c>
      <c r="F98" s="16">
        <f>F97*(1-Model!$B$13)*Model!$B$12</f>
        <v/>
      </c>
      <c r="G98" s="16">
        <f>G97*(1-Model!$B$13)*Model!$B$12</f>
        <v/>
      </c>
      <c r="H98" s="16">
        <f>H97*(1-Model!$B$13)*Model!$B$12</f>
        <v/>
      </c>
      <c r="I98" s="16">
        <f>I97*(1-Model!$B$13)*Model!$B$12</f>
        <v/>
      </c>
      <c r="J98" s="16">
        <f>J97*(1-Model!$B$13)*Model!$B$12</f>
        <v/>
      </c>
      <c r="K98" s="16">
        <f>K97*(1-Model!$B$13)*Model!$B$12</f>
        <v/>
      </c>
      <c r="L98" s="16">
        <f>L97*(1-Model!$B$13)*Model!$B$12</f>
        <v/>
      </c>
      <c r="N98" s="17">
        <f>SUM(C98:L98)</f>
        <v/>
      </c>
    </row>
    <row r="99">
      <c r="A99" t="inlineStr">
        <is>
          <t>Paid members</t>
        </is>
      </c>
      <c r="B99" t="inlineStr">
        <is>
          <t>M</t>
        </is>
      </c>
      <c r="C99" s="16">
        <f>Model!$B$18*Model!$A$72+C98</f>
        <v/>
      </c>
      <c r="D99" s="16">
        <f>C99*Model!$A$72+D98</f>
        <v/>
      </c>
      <c r="E99" s="16">
        <f>D99*Model!$A$72+E98</f>
        <v/>
      </c>
      <c r="F99" s="16">
        <f>E99*Model!$A$72+F98</f>
        <v/>
      </c>
      <c r="G99" s="16">
        <f>F99*Model!$A$72+G98</f>
        <v/>
      </c>
      <c r="H99" s="16">
        <f>G99*Model!$A$72+H98</f>
        <v/>
      </c>
      <c r="I99" s="16">
        <f>H99*Model!$A$72+I98</f>
        <v/>
      </c>
      <c r="J99" s="16">
        <f>I99*Model!$A$72+J98</f>
        <v/>
      </c>
      <c r="K99" s="16">
        <f>J99*Model!$A$72+K98</f>
        <v/>
      </c>
      <c r="L99" s="16">
        <f>K99*Model!$A$72+L98</f>
        <v/>
      </c>
    </row>
    <row r="100">
      <c r="A100" t="inlineStr">
        <is>
          <t>Revenue (hardware + membership)</t>
        </is>
      </c>
      <c r="B100" t="inlineStr">
        <is>
          <t>$M</t>
        </is>
      </c>
      <c r="C100" s="18">
        <f>C97*Model!$B$8+C99*IF(Model!$A$72&gt;0,1,0)*Model!$B$10</f>
        <v/>
      </c>
      <c r="D100" s="18">
        <f>D97*Model!$B$8+D99*IF(Model!$A$72&gt;0,1,0)*Model!$B$10</f>
        <v/>
      </c>
      <c r="E100" s="18">
        <f>E97*Model!$B$8+E99*IF(Model!$A$72&gt;0,1,0)*Model!$B$10</f>
        <v/>
      </c>
      <c r="F100" s="18">
        <f>F97*Model!$B$8+F99*IF(Model!$A$72&gt;0,1,0)*Model!$B$10</f>
        <v/>
      </c>
      <c r="G100" s="18">
        <f>G97*Model!$B$8+G99*IF(Model!$A$72&gt;0,1,0)*Model!$B$10</f>
        <v/>
      </c>
      <c r="H100" s="18">
        <f>H97*Model!$B$8+H99*IF(Model!$A$72&gt;0,1,0)*Model!$B$10</f>
        <v/>
      </c>
      <c r="I100" s="18">
        <f>I97*Model!$B$8+I99*IF(Model!$A$72&gt;0,1,0)*Model!$B$10</f>
        <v/>
      </c>
      <c r="J100" s="18">
        <f>J97*Model!$B$8+J99*IF(Model!$A$72&gt;0,1,0)*Model!$B$10</f>
        <v/>
      </c>
      <c r="K100" s="18">
        <f>K97*Model!$B$8+K99*IF(Model!$A$72&gt;0,1,0)*Model!$B$10</f>
        <v/>
      </c>
      <c r="L100" s="18">
        <f>L97*Model!$B$8+L99*IF(Model!$A$72&gt;0,1,0)*Model!$B$10</f>
        <v/>
      </c>
      <c r="N100" s="19">
        <f>SUM(C100:L100)</f>
        <v/>
      </c>
    </row>
    <row r="101">
      <c r="A101" t="inlineStr">
        <is>
          <t>Membership gross profit</t>
        </is>
      </c>
      <c r="B101" t="inlineStr">
        <is>
          <t>$M</t>
        </is>
      </c>
      <c r="C101" s="18">
        <f>C99*IF(Model!$A$72&gt;0,1,0)*Model!$B$10*Model!$B$11</f>
        <v/>
      </c>
      <c r="D101" s="18">
        <f>D99*IF(Model!$A$72&gt;0,1,0)*Model!$B$10*Model!$B$11</f>
        <v/>
      </c>
      <c r="E101" s="18">
        <f>E99*IF(Model!$A$72&gt;0,1,0)*Model!$B$10*Model!$B$11</f>
        <v/>
      </c>
      <c r="F101" s="18">
        <f>F99*IF(Model!$A$72&gt;0,1,0)*Model!$B$10*Model!$B$11</f>
        <v/>
      </c>
      <c r="G101" s="18">
        <f>G99*IF(Model!$A$72&gt;0,1,0)*Model!$B$10*Model!$B$11</f>
        <v/>
      </c>
      <c r="H101" s="18">
        <f>H99*IF(Model!$A$72&gt;0,1,0)*Model!$B$10*Model!$B$11</f>
        <v/>
      </c>
      <c r="I101" s="18">
        <f>I99*IF(Model!$A$72&gt;0,1,0)*Model!$B$10*Model!$B$11</f>
        <v/>
      </c>
      <c r="J101" s="18">
        <f>J99*IF(Model!$A$72&gt;0,1,0)*Model!$B$10*Model!$B$11</f>
        <v/>
      </c>
      <c r="K101" s="18">
        <f>K99*IF(Model!$A$72&gt;0,1,0)*Model!$B$10*Model!$B$11</f>
        <v/>
      </c>
      <c r="L101" s="18">
        <f>L99*IF(Model!$A$72&gt;0,1,0)*Model!$B$10*Model!$B$11</f>
        <v/>
      </c>
      <c r="N101" s="19">
        <f>SUM(C101:L101)</f>
        <v/>
      </c>
    </row>
    <row r="102">
      <c r="A102" t="inlineStr">
        <is>
          <t>Hardware contribution</t>
        </is>
      </c>
      <c r="B102" t="inlineStr">
        <is>
          <t>$M</t>
        </is>
      </c>
      <c r="C102" s="18">
        <f>C97*Model!$B$34</f>
        <v/>
      </c>
      <c r="D102" s="18">
        <f>D97*Model!$B$34</f>
        <v/>
      </c>
      <c r="E102" s="18">
        <f>E97*Model!$B$34</f>
        <v/>
      </c>
      <c r="F102" s="18">
        <f>F97*Model!$B$34</f>
        <v/>
      </c>
      <c r="G102" s="18">
        <f>G97*Model!$B$34</f>
        <v/>
      </c>
      <c r="H102" s="18">
        <f>H97*Model!$B$34</f>
        <v/>
      </c>
      <c r="I102" s="18">
        <f>I97*Model!$B$34</f>
        <v/>
      </c>
      <c r="J102" s="18">
        <f>J97*Model!$B$34</f>
        <v/>
      </c>
      <c r="K102" s="18">
        <f>K97*Model!$B$34</f>
        <v/>
      </c>
      <c r="L102" s="18">
        <f>L97*Model!$B$34</f>
        <v/>
      </c>
      <c r="N102" s="19">
        <f>SUM(C102:L102)</f>
        <v/>
      </c>
    </row>
    <row r="103">
      <c r="A103" t="inlineStr">
        <is>
          <t>Fixed costs (R&amp;D + G&amp;A)</t>
        </is>
      </c>
      <c r="B103" t="inlineStr">
        <is>
          <t>$M</t>
        </is>
      </c>
      <c r="C103" s="18">
        <f>Model!$B$19*(1+Model!$B$27)^MIN(C$96,Model!$B$26)</f>
        <v/>
      </c>
      <c r="D103" s="18">
        <f>Model!$B$19*(1+Model!$B$27)^MIN(D$96,Model!$B$26)</f>
        <v/>
      </c>
      <c r="E103" s="18">
        <f>Model!$B$19*(1+Model!$B$27)^MIN(E$96,Model!$B$26)</f>
        <v/>
      </c>
      <c r="F103" s="18">
        <f>Model!$B$19*(1+Model!$B$27)^MIN(F$96,Model!$B$26)</f>
        <v/>
      </c>
      <c r="G103" s="18">
        <f>Model!$B$19*(1+Model!$B$27)^MIN(G$96,Model!$B$26)</f>
        <v/>
      </c>
      <c r="H103" s="18">
        <f>Model!$B$19*(1+Model!$B$27)^MIN(H$96,Model!$B$26)</f>
        <v/>
      </c>
      <c r="I103" s="18">
        <f>Model!$B$19*(1+Model!$B$27)^MIN(I$96,Model!$B$26)</f>
        <v/>
      </c>
      <c r="J103" s="18">
        <f>Model!$B$19*(1+Model!$B$27)^MIN(J$96,Model!$B$26)</f>
        <v/>
      </c>
      <c r="K103" s="18">
        <f>Model!$B$19*(1+Model!$B$27)^MIN(K$96,Model!$B$26)</f>
        <v/>
      </c>
      <c r="L103" s="18">
        <f>Model!$B$19*(1+Model!$B$27)^MIN(L$96,Model!$B$26)</f>
        <v/>
      </c>
      <c r="N103" s="19">
        <f>SUM(C103:L103)</f>
        <v/>
      </c>
    </row>
    <row r="104">
      <c r="A104" t="inlineStr">
        <is>
          <t>Operating profit  ⚠ full-year membership credit in every cohort's acquisition year (see the year-one flag on the web page); reported nine-month income from operations was $71.2M</t>
        </is>
      </c>
      <c r="B104" t="inlineStr">
        <is>
          <t>$M</t>
        </is>
      </c>
      <c r="C104" s="18">
        <f>C101+C102-C103</f>
        <v/>
      </c>
      <c r="D104" s="18">
        <f>D101+D102-D103</f>
        <v/>
      </c>
      <c r="E104" s="18">
        <f>E101+E102-E103</f>
        <v/>
      </c>
      <c r="F104" s="18">
        <f>F101+F102-F103</f>
        <v/>
      </c>
      <c r="G104" s="18">
        <f>G101+G102-G103</f>
        <v/>
      </c>
      <c r="H104" s="18">
        <f>H101+H102-H103</f>
        <v/>
      </c>
      <c r="I104" s="18">
        <f>I101+I102-I103</f>
        <v/>
      </c>
      <c r="J104" s="18">
        <f>J101+J102-J103</f>
        <v/>
      </c>
      <c r="K104" s="18">
        <f>K101+K102-K103</f>
        <v/>
      </c>
      <c r="L104" s="18">
        <f>L101+L102-L103</f>
        <v/>
      </c>
      <c r="N104" s="19">
        <f>SUM(C104:L104)</f>
        <v/>
      </c>
    </row>
    <row r="105">
      <c r="A105" t="inlineStr">
        <is>
          <t>Operating margin</t>
        </is>
      </c>
      <c r="B105" t="inlineStr">
        <is>
          <t>fraction</t>
        </is>
      </c>
      <c r="C105" s="20">
        <f>IF(C100=0,0,C104/C100)</f>
        <v/>
      </c>
      <c r="D105" s="20">
        <f>IF(D100=0,0,D104/D100)</f>
        <v/>
      </c>
      <c r="E105" s="20">
        <f>IF(E100=0,0,E104/E100)</f>
        <v/>
      </c>
      <c r="F105" s="20">
        <f>IF(F100=0,0,F104/F100)</f>
        <v/>
      </c>
      <c r="G105" s="20">
        <f>IF(G100=0,0,G104/G100)</f>
        <v/>
      </c>
      <c r="H105" s="20">
        <f>IF(H100=0,0,H104/H100)</f>
        <v/>
      </c>
      <c r="I105" s="20">
        <f>IF(I100=0,0,I104/I100)</f>
        <v/>
      </c>
      <c r="J105" s="20">
        <f>IF(J100=0,0,J104/J100)</f>
        <v/>
      </c>
      <c r="K105" s="20">
        <f>IF(K100=0,0,K104/K100)</f>
        <v/>
      </c>
      <c r="L105" s="20">
        <f>IF(L100=0,0,L104/L100)</f>
        <v/>
      </c>
    </row>
    <row r="106">
      <c r="A106" t="inlineStr">
        <is>
          <t>Tax</t>
        </is>
      </c>
      <c r="B106" t="inlineStr">
        <is>
          <t>$M</t>
        </is>
      </c>
      <c r="C106" s="18">
        <f>MAX(0,C104)*Model!$B$23</f>
        <v/>
      </c>
      <c r="D106" s="18">
        <f>MAX(0,D104)*Model!$B$23</f>
        <v/>
      </c>
      <c r="E106" s="18">
        <f>MAX(0,E104)*Model!$B$23</f>
        <v/>
      </c>
      <c r="F106" s="18">
        <f>MAX(0,F104)*Model!$B$23</f>
        <v/>
      </c>
      <c r="G106" s="18">
        <f>MAX(0,G104)*Model!$B$23</f>
        <v/>
      </c>
      <c r="H106" s="18">
        <f>MAX(0,H104)*Model!$B$23</f>
        <v/>
      </c>
      <c r="I106" s="18">
        <f>MAX(0,I104)*Model!$B$23</f>
        <v/>
      </c>
      <c r="J106" s="18">
        <f>MAX(0,J104)*Model!$B$23</f>
        <v/>
      </c>
      <c r="K106" s="18">
        <f>MAX(0,K104)*Model!$B$23</f>
        <v/>
      </c>
      <c r="L106" s="18">
        <f>MAX(0,L104)*Model!$B$23</f>
        <v/>
      </c>
      <c r="N106" s="19">
        <f>SUM(C106:L106)</f>
        <v/>
      </c>
    </row>
    <row r="107">
      <c r="A107" t="inlineStr">
        <is>
          <t>After-tax cash flow</t>
        </is>
      </c>
      <c r="B107" t="inlineStr">
        <is>
          <t>$M</t>
        </is>
      </c>
      <c r="C107" s="18">
        <f>C104-C106</f>
        <v/>
      </c>
      <c r="D107" s="18">
        <f>D104-D106</f>
        <v/>
      </c>
      <c r="E107" s="18">
        <f>E104-E106</f>
        <v/>
      </c>
      <c r="F107" s="18">
        <f>F104-F106</f>
        <v/>
      </c>
      <c r="G107" s="18">
        <f>G104-G106</f>
        <v/>
      </c>
      <c r="H107" s="18">
        <f>H104-H106</f>
        <v/>
      </c>
      <c r="I107" s="18">
        <f>I104-I106</f>
        <v/>
      </c>
      <c r="J107" s="18">
        <f>J104-J106</f>
        <v/>
      </c>
      <c r="K107" s="18">
        <f>K104-K106</f>
        <v/>
      </c>
      <c r="L107" s="18">
        <f>L104-L106</f>
        <v/>
      </c>
      <c r="N107" s="19">
        <f>SUM(C107:L107)</f>
        <v/>
      </c>
    </row>
    <row r="108">
      <c r="A108" t="inlineStr">
        <is>
          <t>Present value</t>
        </is>
      </c>
      <c r="B108" t="inlineStr">
        <is>
          <t>$M</t>
        </is>
      </c>
      <c r="C108" s="18">
        <f>C107/(1+Model!$B$24)^C$96</f>
        <v/>
      </c>
      <c r="D108" s="18">
        <f>D107/(1+Model!$B$24)^D$96</f>
        <v/>
      </c>
      <c r="E108" s="18">
        <f>E107/(1+Model!$B$24)^E$96</f>
        <v/>
      </c>
      <c r="F108" s="18">
        <f>F107/(1+Model!$B$24)^F$96</f>
        <v/>
      </c>
      <c r="G108" s="18">
        <f>G107/(1+Model!$B$24)^G$96</f>
        <v/>
      </c>
      <c r="H108" s="18">
        <f>H107/(1+Model!$B$24)^H$96</f>
        <v/>
      </c>
      <c r="I108" s="18">
        <f>I107/(1+Model!$B$24)^I$96</f>
        <v/>
      </c>
      <c r="J108" s="18">
        <f>J107/(1+Model!$B$24)^J$96</f>
        <v/>
      </c>
      <c r="K108" s="18">
        <f>K107/(1+Model!$B$24)^K$96</f>
        <v/>
      </c>
      <c r="L108" s="18">
        <f>L107/(1+Model!$B$24)^L$96</f>
        <v/>
      </c>
      <c r="M108" s="18">
        <f>IF(ISNUMBER($B$112),$B$112,"excluded (undefined)")</f>
        <v/>
      </c>
      <c r="N108" s="19">
        <f>SUM(C108:L108)</f>
        <v/>
      </c>
    </row>
    <row r="110">
      <c r="A110" s="21" t="inlineStr">
        <is>
          <t>Sum of present values, years 1-10</t>
        </is>
      </c>
      <c r="B110" s="22">
        <f>SUM(C108:L108)</f>
        <v/>
      </c>
      <c r="C110" t="inlineStr">
        <is>
          <t>$M</t>
        </is>
      </c>
    </row>
    <row r="111">
      <c r="A111" s="21" t="inlineStr">
        <is>
          <t>Terminal value at year 10</t>
        </is>
      </c>
      <c r="B111" s="22">
        <f>IF(Model!$B$24&gt;Model!$B$28,L107*(1+Model!$B$28)/(Model!$B$24-Model!$B$28),"terminal value undefined: discount rate must exceed terminal growth")</f>
        <v/>
      </c>
      <c r="C111" t="inlineStr">
        <is>
          <t>$M</t>
        </is>
      </c>
    </row>
    <row r="112">
      <c r="A112" s="21" t="inlineStr">
        <is>
          <t>Present value of terminal value</t>
        </is>
      </c>
      <c r="B112" s="22">
        <f>IF(ISNUMBER($B$111),$B$111/(1+Model!$B$24)^L$96,"excluded (undefined)")</f>
        <v/>
      </c>
      <c r="C112" t="inlineStr">
        <is>
          <t>$M</t>
        </is>
      </c>
    </row>
    <row r="113">
      <c r="A113" s="3" t="inlineStr">
        <is>
          <t>Equity value</t>
        </is>
      </c>
      <c r="B113" s="23">
        <f>$B$110+IF(ISNUMBER($B$112),$B$112,0)-Model!$B$20</f>
        <v/>
      </c>
      <c r="C113" t="inlineStr">
        <is>
          <t>$M</t>
        </is>
      </c>
    </row>
    <row r="114">
      <c r="A114" s="21" t="inlineStr">
        <is>
          <t>Terminal value as share of equity value</t>
        </is>
      </c>
      <c r="B114" s="24">
        <f>IF(ISNUMBER($B$112),IF($B$113=0,"n/a (equity value is 0)",$B$112/$B$113),"excluded (undefined)")</f>
        <v/>
      </c>
      <c r="C114" t="inlineStr">
        <is>
          <t>fraction</t>
        </is>
      </c>
    </row>
    <row r="115">
      <c r="A115" s="21" t="inlineStr">
        <is>
          <t>Equity value / TTM revenue (price-to-sales)</t>
        </is>
      </c>
      <c r="B115" s="11">
        <f>IF(Model!$B$21=0,0,$B$113/Model!$B$21)</f>
        <v/>
      </c>
      <c r="C115" t="inlineStr">
        <is>
          <t>x</t>
        </is>
      </c>
    </row>
    <row r="118">
      <c r="A118" s="3" t="inlineStr">
        <is>
          <t>Scenario: retention = Model!A72, ring growth = Model!C70</t>
        </is>
      </c>
    </row>
    <row r="119">
      <c r="A119" s="3" t="inlineStr">
        <is>
          <t>Year</t>
        </is>
      </c>
      <c r="B119" s="3" t="inlineStr">
        <is>
          <t>Unit</t>
        </is>
      </c>
      <c r="C119" s="15" t="n">
        <v>1</v>
      </c>
      <c r="D119" s="15" t="n">
        <v>2</v>
      </c>
      <c r="E119" s="15" t="n">
        <v>3</v>
      </c>
      <c r="F119" s="15" t="n">
        <v>4</v>
      </c>
      <c r="G119" s="15" t="n">
        <v>5</v>
      </c>
      <c r="H119" s="15" t="n">
        <v>6</v>
      </c>
      <c r="I119" s="15" t="n">
        <v>7</v>
      </c>
      <c r="J119" s="15" t="n">
        <v>8</v>
      </c>
      <c r="K119" s="15" t="n">
        <v>9</v>
      </c>
      <c r="L119" s="15" t="n">
        <v>10</v>
      </c>
      <c r="M119" s="3" t="inlineStr">
        <is>
          <t>Terminal</t>
        </is>
      </c>
      <c r="N119" s="3" t="inlineStr">
        <is>
          <t>Total</t>
        </is>
      </c>
    </row>
    <row r="120">
      <c r="A120" t="inlineStr">
        <is>
          <t>Rings sold</t>
        </is>
      </c>
      <c r="B120" t="inlineStr">
        <is>
          <t>M</t>
        </is>
      </c>
      <c r="C120" s="16">
        <f>Model!$B$17*(1+Model!$C$70)^MIN(C$119,Model!$B$26)</f>
        <v/>
      </c>
      <c r="D120" s="16">
        <f>Model!$B$17*(1+Model!$C$70)^MIN(D$119,Model!$B$26)</f>
        <v/>
      </c>
      <c r="E120" s="16">
        <f>Model!$B$17*(1+Model!$C$70)^MIN(E$119,Model!$B$26)</f>
        <v/>
      </c>
      <c r="F120" s="16">
        <f>Model!$B$17*(1+Model!$C$70)^MIN(F$119,Model!$B$26)</f>
        <v/>
      </c>
      <c r="G120" s="16">
        <f>Model!$B$17*(1+Model!$C$70)^MIN(G$119,Model!$B$26)</f>
        <v/>
      </c>
      <c r="H120" s="16">
        <f>Model!$B$17*(1+Model!$C$70)^MIN(H$119,Model!$B$26)</f>
        <v/>
      </c>
      <c r="I120" s="16">
        <f>Model!$B$17*(1+Model!$C$70)^MIN(I$119,Model!$B$26)</f>
        <v/>
      </c>
      <c r="J120" s="16">
        <f>Model!$B$17*(1+Model!$C$70)^MIN(J$119,Model!$B$26)</f>
        <v/>
      </c>
      <c r="K120" s="16">
        <f>Model!$B$17*(1+Model!$C$70)^MIN(K$119,Model!$B$26)</f>
        <v/>
      </c>
      <c r="L120" s="16">
        <f>Model!$B$17*(1+Model!$C$70)^MIN(L$119,Model!$B$26)</f>
        <v/>
      </c>
      <c r="N120" s="17">
        <f>SUM(C120:L120)</f>
        <v/>
      </c>
    </row>
    <row r="121">
      <c r="A121" t="inlineStr">
        <is>
          <t>New paid members</t>
        </is>
      </c>
      <c r="B121" t="inlineStr">
        <is>
          <t>M</t>
        </is>
      </c>
      <c r="C121" s="16">
        <f>C120*(1-Model!$B$13)*Model!$B$12</f>
        <v/>
      </c>
      <c r="D121" s="16">
        <f>D120*(1-Model!$B$13)*Model!$B$12</f>
        <v/>
      </c>
      <c r="E121" s="16">
        <f>E120*(1-Model!$B$13)*Model!$B$12</f>
        <v/>
      </c>
      <c r="F121" s="16">
        <f>F120*(1-Model!$B$13)*Model!$B$12</f>
        <v/>
      </c>
      <c r="G121" s="16">
        <f>G120*(1-Model!$B$13)*Model!$B$12</f>
        <v/>
      </c>
      <c r="H121" s="16">
        <f>H120*(1-Model!$B$13)*Model!$B$12</f>
        <v/>
      </c>
      <c r="I121" s="16">
        <f>I120*(1-Model!$B$13)*Model!$B$12</f>
        <v/>
      </c>
      <c r="J121" s="16">
        <f>J120*(1-Model!$B$13)*Model!$B$12</f>
        <v/>
      </c>
      <c r="K121" s="16">
        <f>K120*(1-Model!$B$13)*Model!$B$12</f>
        <v/>
      </c>
      <c r="L121" s="16">
        <f>L120*(1-Model!$B$13)*Model!$B$12</f>
        <v/>
      </c>
      <c r="N121" s="17">
        <f>SUM(C121:L121)</f>
        <v/>
      </c>
    </row>
    <row r="122">
      <c r="A122" t="inlineStr">
        <is>
          <t>Paid members</t>
        </is>
      </c>
      <c r="B122" t="inlineStr">
        <is>
          <t>M</t>
        </is>
      </c>
      <c r="C122" s="16">
        <f>Model!$B$18*Model!$A$72+C121</f>
        <v/>
      </c>
      <c r="D122" s="16">
        <f>C122*Model!$A$72+D121</f>
        <v/>
      </c>
      <c r="E122" s="16">
        <f>D122*Model!$A$72+E121</f>
        <v/>
      </c>
      <c r="F122" s="16">
        <f>E122*Model!$A$72+F121</f>
        <v/>
      </c>
      <c r="G122" s="16">
        <f>F122*Model!$A$72+G121</f>
        <v/>
      </c>
      <c r="H122" s="16">
        <f>G122*Model!$A$72+H121</f>
        <v/>
      </c>
      <c r="I122" s="16">
        <f>H122*Model!$A$72+I121</f>
        <v/>
      </c>
      <c r="J122" s="16">
        <f>I122*Model!$A$72+J121</f>
        <v/>
      </c>
      <c r="K122" s="16">
        <f>J122*Model!$A$72+K121</f>
        <v/>
      </c>
      <c r="L122" s="16">
        <f>K122*Model!$A$72+L121</f>
        <v/>
      </c>
    </row>
    <row r="123">
      <c r="A123" t="inlineStr">
        <is>
          <t>Revenue (hardware + membership)</t>
        </is>
      </c>
      <c r="B123" t="inlineStr">
        <is>
          <t>$M</t>
        </is>
      </c>
      <c r="C123" s="18">
        <f>C120*Model!$B$8+C122*IF(Model!$A$72&gt;0,1,0)*Model!$B$10</f>
        <v/>
      </c>
      <c r="D123" s="18">
        <f>D120*Model!$B$8+D122*IF(Model!$A$72&gt;0,1,0)*Model!$B$10</f>
        <v/>
      </c>
      <c r="E123" s="18">
        <f>E120*Model!$B$8+E122*IF(Model!$A$72&gt;0,1,0)*Model!$B$10</f>
        <v/>
      </c>
      <c r="F123" s="18">
        <f>F120*Model!$B$8+F122*IF(Model!$A$72&gt;0,1,0)*Model!$B$10</f>
        <v/>
      </c>
      <c r="G123" s="18">
        <f>G120*Model!$B$8+G122*IF(Model!$A$72&gt;0,1,0)*Model!$B$10</f>
        <v/>
      </c>
      <c r="H123" s="18">
        <f>H120*Model!$B$8+H122*IF(Model!$A$72&gt;0,1,0)*Model!$B$10</f>
        <v/>
      </c>
      <c r="I123" s="18">
        <f>I120*Model!$B$8+I122*IF(Model!$A$72&gt;0,1,0)*Model!$B$10</f>
        <v/>
      </c>
      <c r="J123" s="18">
        <f>J120*Model!$B$8+J122*IF(Model!$A$72&gt;0,1,0)*Model!$B$10</f>
        <v/>
      </c>
      <c r="K123" s="18">
        <f>K120*Model!$B$8+K122*IF(Model!$A$72&gt;0,1,0)*Model!$B$10</f>
        <v/>
      </c>
      <c r="L123" s="18">
        <f>L120*Model!$B$8+L122*IF(Model!$A$72&gt;0,1,0)*Model!$B$10</f>
        <v/>
      </c>
      <c r="N123" s="19">
        <f>SUM(C123:L123)</f>
        <v/>
      </c>
    </row>
    <row r="124">
      <c r="A124" t="inlineStr">
        <is>
          <t>Membership gross profit</t>
        </is>
      </c>
      <c r="B124" t="inlineStr">
        <is>
          <t>$M</t>
        </is>
      </c>
      <c r="C124" s="18">
        <f>C122*IF(Model!$A$72&gt;0,1,0)*Model!$B$10*Model!$B$11</f>
        <v/>
      </c>
      <c r="D124" s="18">
        <f>D122*IF(Model!$A$72&gt;0,1,0)*Model!$B$10*Model!$B$11</f>
        <v/>
      </c>
      <c r="E124" s="18">
        <f>E122*IF(Model!$A$72&gt;0,1,0)*Model!$B$10*Model!$B$11</f>
        <v/>
      </c>
      <c r="F124" s="18">
        <f>F122*IF(Model!$A$72&gt;0,1,0)*Model!$B$10*Model!$B$11</f>
        <v/>
      </c>
      <c r="G124" s="18">
        <f>G122*IF(Model!$A$72&gt;0,1,0)*Model!$B$10*Model!$B$11</f>
        <v/>
      </c>
      <c r="H124" s="18">
        <f>H122*IF(Model!$A$72&gt;0,1,0)*Model!$B$10*Model!$B$11</f>
        <v/>
      </c>
      <c r="I124" s="18">
        <f>I122*IF(Model!$A$72&gt;0,1,0)*Model!$B$10*Model!$B$11</f>
        <v/>
      </c>
      <c r="J124" s="18">
        <f>J122*IF(Model!$A$72&gt;0,1,0)*Model!$B$10*Model!$B$11</f>
        <v/>
      </c>
      <c r="K124" s="18">
        <f>K122*IF(Model!$A$72&gt;0,1,0)*Model!$B$10*Model!$B$11</f>
        <v/>
      </c>
      <c r="L124" s="18">
        <f>L122*IF(Model!$A$72&gt;0,1,0)*Model!$B$10*Model!$B$11</f>
        <v/>
      </c>
      <c r="N124" s="19">
        <f>SUM(C124:L124)</f>
        <v/>
      </c>
    </row>
    <row r="125">
      <c r="A125" t="inlineStr">
        <is>
          <t>Hardware contribution</t>
        </is>
      </c>
      <c r="B125" t="inlineStr">
        <is>
          <t>$M</t>
        </is>
      </c>
      <c r="C125" s="18">
        <f>C120*Model!$B$34</f>
        <v/>
      </c>
      <c r="D125" s="18">
        <f>D120*Model!$B$34</f>
        <v/>
      </c>
      <c r="E125" s="18">
        <f>E120*Model!$B$34</f>
        <v/>
      </c>
      <c r="F125" s="18">
        <f>F120*Model!$B$34</f>
        <v/>
      </c>
      <c r="G125" s="18">
        <f>G120*Model!$B$34</f>
        <v/>
      </c>
      <c r="H125" s="18">
        <f>H120*Model!$B$34</f>
        <v/>
      </c>
      <c r="I125" s="18">
        <f>I120*Model!$B$34</f>
        <v/>
      </c>
      <c r="J125" s="18">
        <f>J120*Model!$B$34</f>
        <v/>
      </c>
      <c r="K125" s="18">
        <f>K120*Model!$B$34</f>
        <v/>
      </c>
      <c r="L125" s="18">
        <f>L120*Model!$B$34</f>
        <v/>
      </c>
      <c r="N125" s="19">
        <f>SUM(C125:L125)</f>
        <v/>
      </c>
    </row>
    <row r="126">
      <c r="A126" t="inlineStr">
        <is>
          <t>Fixed costs (R&amp;D + G&amp;A)</t>
        </is>
      </c>
      <c r="B126" t="inlineStr">
        <is>
          <t>$M</t>
        </is>
      </c>
      <c r="C126" s="18">
        <f>Model!$B$19*(1+Model!$B$27)^MIN(C$119,Model!$B$26)</f>
        <v/>
      </c>
      <c r="D126" s="18">
        <f>Model!$B$19*(1+Model!$B$27)^MIN(D$119,Model!$B$26)</f>
        <v/>
      </c>
      <c r="E126" s="18">
        <f>Model!$B$19*(1+Model!$B$27)^MIN(E$119,Model!$B$26)</f>
        <v/>
      </c>
      <c r="F126" s="18">
        <f>Model!$B$19*(1+Model!$B$27)^MIN(F$119,Model!$B$26)</f>
        <v/>
      </c>
      <c r="G126" s="18">
        <f>Model!$B$19*(1+Model!$B$27)^MIN(G$119,Model!$B$26)</f>
        <v/>
      </c>
      <c r="H126" s="18">
        <f>Model!$B$19*(1+Model!$B$27)^MIN(H$119,Model!$B$26)</f>
        <v/>
      </c>
      <c r="I126" s="18">
        <f>Model!$B$19*(1+Model!$B$27)^MIN(I$119,Model!$B$26)</f>
        <v/>
      </c>
      <c r="J126" s="18">
        <f>Model!$B$19*(1+Model!$B$27)^MIN(J$119,Model!$B$26)</f>
        <v/>
      </c>
      <c r="K126" s="18">
        <f>Model!$B$19*(1+Model!$B$27)^MIN(K$119,Model!$B$26)</f>
        <v/>
      </c>
      <c r="L126" s="18">
        <f>Model!$B$19*(1+Model!$B$27)^MIN(L$119,Model!$B$26)</f>
        <v/>
      </c>
      <c r="N126" s="19">
        <f>SUM(C126:L126)</f>
        <v/>
      </c>
    </row>
    <row r="127">
      <c r="A127" t="inlineStr">
        <is>
          <t>Operating profit  ⚠ full-year membership credit in every cohort's acquisition year (see the year-one flag on the web page); reported nine-month income from operations was $71.2M</t>
        </is>
      </c>
      <c r="B127" t="inlineStr">
        <is>
          <t>$M</t>
        </is>
      </c>
      <c r="C127" s="18">
        <f>C124+C125-C126</f>
        <v/>
      </c>
      <c r="D127" s="18">
        <f>D124+D125-D126</f>
        <v/>
      </c>
      <c r="E127" s="18">
        <f>E124+E125-E126</f>
        <v/>
      </c>
      <c r="F127" s="18">
        <f>F124+F125-F126</f>
        <v/>
      </c>
      <c r="G127" s="18">
        <f>G124+G125-G126</f>
        <v/>
      </c>
      <c r="H127" s="18">
        <f>H124+H125-H126</f>
        <v/>
      </c>
      <c r="I127" s="18">
        <f>I124+I125-I126</f>
        <v/>
      </c>
      <c r="J127" s="18">
        <f>J124+J125-J126</f>
        <v/>
      </c>
      <c r="K127" s="18">
        <f>K124+K125-K126</f>
        <v/>
      </c>
      <c r="L127" s="18">
        <f>L124+L125-L126</f>
        <v/>
      </c>
      <c r="N127" s="19">
        <f>SUM(C127:L127)</f>
        <v/>
      </c>
    </row>
    <row r="128">
      <c r="A128" t="inlineStr">
        <is>
          <t>Operating margin</t>
        </is>
      </c>
      <c r="B128" t="inlineStr">
        <is>
          <t>fraction</t>
        </is>
      </c>
      <c r="C128" s="20">
        <f>IF(C123=0,0,C127/C123)</f>
        <v/>
      </c>
      <c r="D128" s="20">
        <f>IF(D123=0,0,D127/D123)</f>
        <v/>
      </c>
      <c r="E128" s="20">
        <f>IF(E123=0,0,E127/E123)</f>
        <v/>
      </c>
      <c r="F128" s="20">
        <f>IF(F123=0,0,F127/F123)</f>
        <v/>
      </c>
      <c r="G128" s="20">
        <f>IF(G123=0,0,G127/G123)</f>
        <v/>
      </c>
      <c r="H128" s="20">
        <f>IF(H123=0,0,H127/H123)</f>
        <v/>
      </c>
      <c r="I128" s="20">
        <f>IF(I123=0,0,I127/I123)</f>
        <v/>
      </c>
      <c r="J128" s="20">
        <f>IF(J123=0,0,J127/J123)</f>
        <v/>
      </c>
      <c r="K128" s="20">
        <f>IF(K123=0,0,K127/K123)</f>
        <v/>
      </c>
      <c r="L128" s="20">
        <f>IF(L123=0,0,L127/L123)</f>
        <v/>
      </c>
    </row>
    <row r="129">
      <c r="A129" t="inlineStr">
        <is>
          <t>Tax</t>
        </is>
      </c>
      <c r="B129" t="inlineStr">
        <is>
          <t>$M</t>
        </is>
      </c>
      <c r="C129" s="18">
        <f>MAX(0,C127)*Model!$B$23</f>
        <v/>
      </c>
      <c r="D129" s="18">
        <f>MAX(0,D127)*Model!$B$23</f>
        <v/>
      </c>
      <c r="E129" s="18">
        <f>MAX(0,E127)*Model!$B$23</f>
        <v/>
      </c>
      <c r="F129" s="18">
        <f>MAX(0,F127)*Model!$B$23</f>
        <v/>
      </c>
      <c r="G129" s="18">
        <f>MAX(0,G127)*Model!$B$23</f>
        <v/>
      </c>
      <c r="H129" s="18">
        <f>MAX(0,H127)*Model!$B$23</f>
        <v/>
      </c>
      <c r="I129" s="18">
        <f>MAX(0,I127)*Model!$B$23</f>
        <v/>
      </c>
      <c r="J129" s="18">
        <f>MAX(0,J127)*Model!$B$23</f>
        <v/>
      </c>
      <c r="K129" s="18">
        <f>MAX(0,K127)*Model!$B$23</f>
        <v/>
      </c>
      <c r="L129" s="18">
        <f>MAX(0,L127)*Model!$B$23</f>
        <v/>
      </c>
      <c r="N129" s="19">
        <f>SUM(C129:L129)</f>
        <v/>
      </c>
    </row>
    <row r="130">
      <c r="A130" t="inlineStr">
        <is>
          <t>After-tax cash flow</t>
        </is>
      </c>
      <c r="B130" t="inlineStr">
        <is>
          <t>$M</t>
        </is>
      </c>
      <c r="C130" s="18">
        <f>C127-C129</f>
        <v/>
      </c>
      <c r="D130" s="18">
        <f>D127-D129</f>
        <v/>
      </c>
      <c r="E130" s="18">
        <f>E127-E129</f>
        <v/>
      </c>
      <c r="F130" s="18">
        <f>F127-F129</f>
        <v/>
      </c>
      <c r="G130" s="18">
        <f>G127-G129</f>
        <v/>
      </c>
      <c r="H130" s="18">
        <f>H127-H129</f>
        <v/>
      </c>
      <c r="I130" s="18">
        <f>I127-I129</f>
        <v/>
      </c>
      <c r="J130" s="18">
        <f>J127-J129</f>
        <v/>
      </c>
      <c r="K130" s="18">
        <f>K127-K129</f>
        <v/>
      </c>
      <c r="L130" s="18">
        <f>L127-L129</f>
        <v/>
      </c>
      <c r="N130" s="19">
        <f>SUM(C130:L130)</f>
        <v/>
      </c>
    </row>
    <row r="131">
      <c r="A131" t="inlineStr">
        <is>
          <t>Present value</t>
        </is>
      </c>
      <c r="B131" t="inlineStr">
        <is>
          <t>$M</t>
        </is>
      </c>
      <c r="C131" s="18">
        <f>C130/(1+Model!$B$24)^C$119</f>
        <v/>
      </c>
      <c r="D131" s="18">
        <f>D130/(1+Model!$B$24)^D$119</f>
        <v/>
      </c>
      <c r="E131" s="18">
        <f>E130/(1+Model!$B$24)^E$119</f>
        <v/>
      </c>
      <c r="F131" s="18">
        <f>F130/(1+Model!$B$24)^F$119</f>
        <v/>
      </c>
      <c r="G131" s="18">
        <f>G130/(1+Model!$B$24)^G$119</f>
        <v/>
      </c>
      <c r="H131" s="18">
        <f>H130/(1+Model!$B$24)^H$119</f>
        <v/>
      </c>
      <c r="I131" s="18">
        <f>I130/(1+Model!$B$24)^I$119</f>
        <v/>
      </c>
      <c r="J131" s="18">
        <f>J130/(1+Model!$B$24)^J$119</f>
        <v/>
      </c>
      <c r="K131" s="18">
        <f>K130/(1+Model!$B$24)^K$119</f>
        <v/>
      </c>
      <c r="L131" s="18">
        <f>L130/(1+Model!$B$24)^L$119</f>
        <v/>
      </c>
      <c r="M131" s="18">
        <f>IF(ISNUMBER($B$135),$B$135,"excluded (undefined)")</f>
        <v/>
      </c>
      <c r="N131" s="19">
        <f>SUM(C131:L131)</f>
        <v/>
      </c>
    </row>
    <row r="133">
      <c r="A133" s="21" t="inlineStr">
        <is>
          <t>Sum of present values, years 1-10</t>
        </is>
      </c>
      <c r="B133" s="22">
        <f>SUM(C131:L131)</f>
        <v/>
      </c>
      <c r="C133" t="inlineStr">
        <is>
          <t>$M</t>
        </is>
      </c>
    </row>
    <row r="134">
      <c r="A134" s="21" t="inlineStr">
        <is>
          <t>Terminal value at year 10</t>
        </is>
      </c>
      <c r="B134" s="22">
        <f>IF(Model!$B$24&gt;Model!$B$28,L130*(1+Model!$B$28)/(Model!$B$24-Model!$B$28),"terminal value undefined: discount rate must exceed terminal growth")</f>
        <v/>
      </c>
      <c r="C134" t="inlineStr">
        <is>
          <t>$M</t>
        </is>
      </c>
    </row>
    <row r="135">
      <c r="A135" s="21" t="inlineStr">
        <is>
          <t>Present value of terminal value</t>
        </is>
      </c>
      <c r="B135" s="22">
        <f>IF(ISNUMBER($B$134),$B$134/(1+Model!$B$24)^L$119,"excluded (undefined)")</f>
        <v/>
      </c>
      <c r="C135" t="inlineStr">
        <is>
          <t>$M</t>
        </is>
      </c>
    </row>
    <row r="136">
      <c r="A136" s="3" t="inlineStr">
        <is>
          <t>Equity value</t>
        </is>
      </c>
      <c r="B136" s="23">
        <f>$B$133+IF(ISNUMBER($B$135),$B$135,0)-Model!$B$20</f>
        <v/>
      </c>
      <c r="C136" t="inlineStr">
        <is>
          <t>$M</t>
        </is>
      </c>
    </row>
    <row r="137">
      <c r="A137" s="21" t="inlineStr">
        <is>
          <t>Terminal value as share of equity value</t>
        </is>
      </c>
      <c r="B137" s="24">
        <f>IF(ISNUMBER($B$135),IF($B$136=0,"n/a (equity value is 0)",$B$135/$B$136),"excluded (undefined)")</f>
        <v/>
      </c>
      <c r="C137" t="inlineStr">
        <is>
          <t>fraction</t>
        </is>
      </c>
    </row>
    <row r="138">
      <c r="A138" s="21" t="inlineStr">
        <is>
          <t>Equity value / TTM revenue (price-to-sales)</t>
        </is>
      </c>
      <c r="B138" s="11">
        <f>IF(Model!$B$21=0,0,$B$136/Model!$B$21)</f>
        <v/>
      </c>
      <c r="C138" t="inlineStr">
        <is>
          <t>x</t>
        </is>
      </c>
    </row>
    <row r="141">
      <c r="A141" s="3" t="inlineStr">
        <is>
          <t>Scenario: retention = Model!A72, ring growth = Model!D70</t>
        </is>
      </c>
    </row>
    <row r="142">
      <c r="A142" s="3" t="inlineStr">
        <is>
          <t>Year</t>
        </is>
      </c>
      <c r="B142" s="3" t="inlineStr">
        <is>
          <t>Unit</t>
        </is>
      </c>
      <c r="C142" s="15" t="n">
        <v>1</v>
      </c>
      <c r="D142" s="15" t="n">
        <v>2</v>
      </c>
      <c r="E142" s="15" t="n">
        <v>3</v>
      </c>
      <c r="F142" s="15" t="n">
        <v>4</v>
      </c>
      <c r="G142" s="15" t="n">
        <v>5</v>
      </c>
      <c r="H142" s="15" t="n">
        <v>6</v>
      </c>
      <c r="I142" s="15" t="n">
        <v>7</v>
      </c>
      <c r="J142" s="15" t="n">
        <v>8</v>
      </c>
      <c r="K142" s="15" t="n">
        <v>9</v>
      </c>
      <c r="L142" s="15" t="n">
        <v>10</v>
      </c>
      <c r="M142" s="3" t="inlineStr">
        <is>
          <t>Terminal</t>
        </is>
      </c>
      <c r="N142" s="3" t="inlineStr">
        <is>
          <t>Total</t>
        </is>
      </c>
    </row>
    <row r="143">
      <c r="A143" t="inlineStr">
        <is>
          <t>Rings sold</t>
        </is>
      </c>
      <c r="B143" t="inlineStr">
        <is>
          <t>M</t>
        </is>
      </c>
      <c r="C143" s="16">
        <f>Model!$B$17*(1+Model!$D$70)^MIN(C$142,Model!$B$26)</f>
        <v/>
      </c>
      <c r="D143" s="16">
        <f>Model!$B$17*(1+Model!$D$70)^MIN(D$142,Model!$B$26)</f>
        <v/>
      </c>
      <c r="E143" s="16">
        <f>Model!$B$17*(1+Model!$D$70)^MIN(E$142,Model!$B$26)</f>
        <v/>
      </c>
      <c r="F143" s="16">
        <f>Model!$B$17*(1+Model!$D$70)^MIN(F$142,Model!$B$26)</f>
        <v/>
      </c>
      <c r="G143" s="16">
        <f>Model!$B$17*(1+Model!$D$70)^MIN(G$142,Model!$B$26)</f>
        <v/>
      </c>
      <c r="H143" s="16">
        <f>Model!$B$17*(1+Model!$D$70)^MIN(H$142,Model!$B$26)</f>
        <v/>
      </c>
      <c r="I143" s="16">
        <f>Model!$B$17*(1+Model!$D$70)^MIN(I$142,Model!$B$26)</f>
        <v/>
      </c>
      <c r="J143" s="16">
        <f>Model!$B$17*(1+Model!$D$70)^MIN(J$142,Model!$B$26)</f>
        <v/>
      </c>
      <c r="K143" s="16">
        <f>Model!$B$17*(1+Model!$D$70)^MIN(K$142,Model!$B$26)</f>
        <v/>
      </c>
      <c r="L143" s="16">
        <f>Model!$B$17*(1+Model!$D$70)^MIN(L$142,Model!$B$26)</f>
        <v/>
      </c>
      <c r="N143" s="17">
        <f>SUM(C143:L143)</f>
        <v/>
      </c>
    </row>
    <row r="144">
      <c r="A144" t="inlineStr">
        <is>
          <t>New paid members</t>
        </is>
      </c>
      <c r="B144" t="inlineStr">
        <is>
          <t>M</t>
        </is>
      </c>
      <c r="C144" s="16">
        <f>C143*(1-Model!$B$13)*Model!$B$12</f>
        <v/>
      </c>
      <c r="D144" s="16">
        <f>D143*(1-Model!$B$13)*Model!$B$12</f>
        <v/>
      </c>
      <c r="E144" s="16">
        <f>E143*(1-Model!$B$13)*Model!$B$12</f>
        <v/>
      </c>
      <c r="F144" s="16">
        <f>F143*(1-Model!$B$13)*Model!$B$12</f>
        <v/>
      </c>
      <c r="G144" s="16">
        <f>G143*(1-Model!$B$13)*Model!$B$12</f>
        <v/>
      </c>
      <c r="H144" s="16">
        <f>H143*(1-Model!$B$13)*Model!$B$12</f>
        <v/>
      </c>
      <c r="I144" s="16">
        <f>I143*(1-Model!$B$13)*Model!$B$12</f>
        <v/>
      </c>
      <c r="J144" s="16">
        <f>J143*(1-Model!$B$13)*Model!$B$12</f>
        <v/>
      </c>
      <c r="K144" s="16">
        <f>K143*(1-Model!$B$13)*Model!$B$12</f>
        <v/>
      </c>
      <c r="L144" s="16">
        <f>L143*(1-Model!$B$13)*Model!$B$12</f>
        <v/>
      </c>
      <c r="N144" s="17">
        <f>SUM(C144:L144)</f>
        <v/>
      </c>
    </row>
    <row r="145">
      <c r="A145" t="inlineStr">
        <is>
          <t>Paid members</t>
        </is>
      </c>
      <c r="B145" t="inlineStr">
        <is>
          <t>M</t>
        </is>
      </c>
      <c r="C145" s="16">
        <f>Model!$B$18*Model!$A$72+C144</f>
        <v/>
      </c>
      <c r="D145" s="16">
        <f>C145*Model!$A$72+D144</f>
        <v/>
      </c>
      <c r="E145" s="16">
        <f>D145*Model!$A$72+E144</f>
        <v/>
      </c>
      <c r="F145" s="16">
        <f>E145*Model!$A$72+F144</f>
        <v/>
      </c>
      <c r="G145" s="16">
        <f>F145*Model!$A$72+G144</f>
        <v/>
      </c>
      <c r="H145" s="16">
        <f>G145*Model!$A$72+H144</f>
        <v/>
      </c>
      <c r="I145" s="16">
        <f>H145*Model!$A$72+I144</f>
        <v/>
      </c>
      <c r="J145" s="16">
        <f>I145*Model!$A$72+J144</f>
        <v/>
      </c>
      <c r="K145" s="16">
        <f>J145*Model!$A$72+K144</f>
        <v/>
      </c>
      <c r="L145" s="16">
        <f>K145*Model!$A$72+L144</f>
        <v/>
      </c>
    </row>
    <row r="146">
      <c r="A146" t="inlineStr">
        <is>
          <t>Revenue (hardware + membership)</t>
        </is>
      </c>
      <c r="B146" t="inlineStr">
        <is>
          <t>$M</t>
        </is>
      </c>
      <c r="C146" s="18">
        <f>C143*Model!$B$8+C145*IF(Model!$A$72&gt;0,1,0)*Model!$B$10</f>
        <v/>
      </c>
      <c r="D146" s="18">
        <f>D143*Model!$B$8+D145*IF(Model!$A$72&gt;0,1,0)*Model!$B$10</f>
        <v/>
      </c>
      <c r="E146" s="18">
        <f>E143*Model!$B$8+E145*IF(Model!$A$72&gt;0,1,0)*Model!$B$10</f>
        <v/>
      </c>
      <c r="F146" s="18">
        <f>F143*Model!$B$8+F145*IF(Model!$A$72&gt;0,1,0)*Model!$B$10</f>
        <v/>
      </c>
      <c r="G146" s="18">
        <f>G143*Model!$B$8+G145*IF(Model!$A$72&gt;0,1,0)*Model!$B$10</f>
        <v/>
      </c>
      <c r="H146" s="18">
        <f>H143*Model!$B$8+H145*IF(Model!$A$72&gt;0,1,0)*Model!$B$10</f>
        <v/>
      </c>
      <c r="I146" s="18">
        <f>I143*Model!$B$8+I145*IF(Model!$A$72&gt;0,1,0)*Model!$B$10</f>
        <v/>
      </c>
      <c r="J146" s="18">
        <f>J143*Model!$B$8+J145*IF(Model!$A$72&gt;0,1,0)*Model!$B$10</f>
        <v/>
      </c>
      <c r="K146" s="18">
        <f>K143*Model!$B$8+K145*IF(Model!$A$72&gt;0,1,0)*Model!$B$10</f>
        <v/>
      </c>
      <c r="L146" s="18">
        <f>L143*Model!$B$8+L145*IF(Model!$A$72&gt;0,1,0)*Model!$B$10</f>
        <v/>
      </c>
      <c r="N146" s="19">
        <f>SUM(C146:L146)</f>
        <v/>
      </c>
    </row>
    <row r="147">
      <c r="A147" t="inlineStr">
        <is>
          <t>Membership gross profit</t>
        </is>
      </c>
      <c r="B147" t="inlineStr">
        <is>
          <t>$M</t>
        </is>
      </c>
      <c r="C147" s="18">
        <f>C145*IF(Model!$A$72&gt;0,1,0)*Model!$B$10*Model!$B$11</f>
        <v/>
      </c>
      <c r="D147" s="18">
        <f>D145*IF(Model!$A$72&gt;0,1,0)*Model!$B$10*Model!$B$11</f>
        <v/>
      </c>
      <c r="E147" s="18">
        <f>E145*IF(Model!$A$72&gt;0,1,0)*Model!$B$10*Model!$B$11</f>
        <v/>
      </c>
      <c r="F147" s="18">
        <f>F145*IF(Model!$A$72&gt;0,1,0)*Model!$B$10*Model!$B$11</f>
        <v/>
      </c>
      <c r="G147" s="18">
        <f>G145*IF(Model!$A$72&gt;0,1,0)*Model!$B$10*Model!$B$11</f>
        <v/>
      </c>
      <c r="H147" s="18">
        <f>H145*IF(Model!$A$72&gt;0,1,0)*Model!$B$10*Model!$B$11</f>
        <v/>
      </c>
      <c r="I147" s="18">
        <f>I145*IF(Model!$A$72&gt;0,1,0)*Model!$B$10*Model!$B$11</f>
        <v/>
      </c>
      <c r="J147" s="18">
        <f>J145*IF(Model!$A$72&gt;0,1,0)*Model!$B$10*Model!$B$11</f>
        <v/>
      </c>
      <c r="K147" s="18">
        <f>K145*IF(Model!$A$72&gt;0,1,0)*Model!$B$10*Model!$B$11</f>
        <v/>
      </c>
      <c r="L147" s="18">
        <f>L145*IF(Model!$A$72&gt;0,1,0)*Model!$B$10*Model!$B$11</f>
        <v/>
      </c>
      <c r="N147" s="19">
        <f>SUM(C147:L147)</f>
        <v/>
      </c>
    </row>
    <row r="148">
      <c r="A148" t="inlineStr">
        <is>
          <t>Hardware contribution</t>
        </is>
      </c>
      <c r="B148" t="inlineStr">
        <is>
          <t>$M</t>
        </is>
      </c>
      <c r="C148" s="18">
        <f>C143*Model!$B$34</f>
        <v/>
      </c>
      <c r="D148" s="18">
        <f>D143*Model!$B$34</f>
        <v/>
      </c>
      <c r="E148" s="18">
        <f>E143*Model!$B$34</f>
        <v/>
      </c>
      <c r="F148" s="18">
        <f>F143*Model!$B$34</f>
        <v/>
      </c>
      <c r="G148" s="18">
        <f>G143*Model!$B$34</f>
        <v/>
      </c>
      <c r="H148" s="18">
        <f>H143*Model!$B$34</f>
        <v/>
      </c>
      <c r="I148" s="18">
        <f>I143*Model!$B$34</f>
        <v/>
      </c>
      <c r="J148" s="18">
        <f>J143*Model!$B$34</f>
        <v/>
      </c>
      <c r="K148" s="18">
        <f>K143*Model!$B$34</f>
        <v/>
      </c>
      <c r="L148" s="18">
        <f>L143*Model!$B$34</f>
        <v/>
      </c>
      <c r="N148" s="19">
        <f>SUM(C148:L148)</f>
        <v/>
      </c>
    </row>
    <row r="149">
      <c r="A149" t="inlineStr">
        <is>
          <t>Fixed costs (R&amp;D + G&amp;A)</t>
        </is>
      </c>
      <c r="B149" t="inlineStr">
        <is>
          <t>$M</t>
        </is>
      </c>
      <c r="C149" s="18">
        <f>Model!$B$19*(1+Model!$B$27)^MIN(C$142,Model!$B$26)</f>
        <v/>
      </c>
      <c r="D149" s="18">
        <f>Model!$B$19*(1+Model!$B$27)^MIN(D$142,Model!$B$26)</f>
        <v/>
      </c>
      <c r="E149" s="18">
        <f>Model!$B$19*(1+Model!$B$27)^MIN(E$142,Model!$B$26)</f>
        <v/>
      </c>
      <c r="F149" s="18">
        <f>Model!$B$19*(1+Model!$B$27)^MIN(F$142,Model!$B$26)</f>
        <v/>
      </c>
      <c r="G149" s="18">
        <f>Model!$B$19*(1+Model!$B$27)^MIN(G$142,Model!$B$26)</f>
        <v/>
      </c>
      <c r="H149" s="18">
        <f>Model!$B$19*(1+Model!$B$27)^MIN(H$142,Model!$B$26)</f>
        <v/>
      </c>
      <c r="I149" s="18">
        <f>Model!$B$19*(1+Model!$B$27)^MIN(I$142,Model!$B$26)</f>
        <v/>
      </c>
      <c r="J149" s="18">
        <f>Model!$B$19*(1+Model!$B$27)^MIN(J$142,Model!$B$26)</f>
        <v/>
      </c>
      <c r="K149" s="18">
        <f>Model!$B$19*(1+Model!$B$27)^MIN(K$142,Model!$B$26)</f>
        <v/>
      </c>
      <c r="L149" s="18">
        <f>Model!$B$19*(1+Model!$B$27)^MIN(L$142,Model!$B$26)</f>
        <v/>
      </c>
      <c r="N149" s="19">
        <f>SUM(C149:L149)</f>
        <v/>
      </c>
    </row>
    <row r="150">
      <c r="A150" t="inlineStr">
        <is>
          <t>Operating profit  ⚠ full-year membership credit in every cohort's acquisition year (see the year-one flag on the web page); reported nine-month income from operations was $71.2M</t>
        </is>
      </c>
      <c r="B150" t="inlineStr">
        <is>
          <t>$M</t>
        </is>
      </c>
      <c r="C150" s="18">
        <f>C147+C148-C149</f>
        <v/>
      </c>
      <c r="D150" s="18">
        <f>D147+D148-D149</f>
        <v/>
      </c>
      <c r="E150" s="18">
        <f>E147+E148-E149</f>
        <v/>
      </c>
      <c r="F150" s="18">
        <f>F147+F148-F149</f>
        <v/>
      </c>
      <c r="G150" s="18">
        <f>G147+G148-G149</f>
        <v/>
      </c>
      <c r="H150" s="18">
        <f>H147+H148-H149</f>
        <v/>
      </c>
      <c r="I150" s="18">
        <f>I147+I148-I149</f>
        <v/>
      </c>
      <c r="J150" s="18">
        <f>J147+J148-J149</f>
        <v/>
      </c>
      <c r="K150" s="18">
        <f>K147+K148-K149</f>
        <v/>
      </c>
      <c r="L150" s="18">
        <f>L147+L148-L149</f>
        <v/>
      </c>
      <c r="N150" s="19">
        <f>SUM(C150:L150)</f>
        <v/>
      </c>
    </row>
    <row r="151">
      <c r="A151" t="inlineStr">
        <is>
          <t>Operating margin</t>
        </is>
      </c>
      <c r="B151" t="inlineStr">
        <is>
          <t>fraction</t>
        </is>
      </c>
      <c r="C151" s="20">
        <f>IF(C146=0,0,C150/C146)</f>
        <v/>
      </c>
      <c r="D151" s="20">
        <f>IF(D146=0,0,D150/D146)</f>
        <v/>
      </c>
      <c r="E151" s="20">
        <f>IF(E146=0,0,E150/E146)</f>
        <v/>
      </c>
      <c r="F151" s="20">
        <f>IF(F146=0,0,F150/F146)</f>
        <v/>
      </c>
      <c r="G151" s="20">
        <f>IF(G146=0,0,G150/G146)</f>
        <v/>
      </c>
      <c r="H151" s="20">
        <f>IF(H146=0,0,H150/H146)</f>
        <v/>
      </c>
      <c r="I151" s="20">
        <f>IF(I146=0,0,I150/I146)</f>
        <v/>
      </c>
      <c r="J151" s="20">
        <f>IF(J146=0,0,J150/J146)</f>
        <v/>
      </c>
      <c r="K151" s="20">
        <f>IF(K146=0,0,K150/K146)</f>
        <v/>
      </c>
      <c r="L151" s="20">
        <f>IF(L146=0,0,L150/L146)</f>
        <v/>
      </c>
    </row>
    <row r="152">
      <c r="A152" t="inlineStr">
        <is>
          <t>Tax</t>
        </is>
      </c>
      <c r="B152" t="inlineStr">
        <is>
          <t>$M</t>
        </is>
      </c>
      <c r="C152" s="18">
        <f>MAX(0,C150)*Model!$B$23</f>
        <v/>
      </c>
      <c r="D152" s="18">
        <f>MAX(0,D150)*Model!$B$23</f>
        <v/>
      </c>
      <c r="E152" s="18">
        <f>MAX(0,E150)*Model!$B$23</f>
        <v/>
      </c>
      <c r="F152" s="18">
        <f>MAX(0,F150)*Model!$B$23</f>
        <v/>
      </c>
      <c r="G152" s="18">
        <f>MAX(0,G150)*Model!$B$23</f>
        <v/>
      </c>
      <c r="H152" s="18">
        <f>MAX(0,H150)*Model!$B$23</f>
        <v/>
      </c>
      <c r="I152" s="18">
        <f>MAX(0,I150)*Model!$B$23</f>
        <v/>
      </c>
      <c r="J152" s="18">
        <f>MAX(0,J150)*Model!$B$23</f>
        <v/>
      </c>
      <c r="K152" s="18">
        <f>MAX(0,K150)*Model!$B$23</f>
        <v/>
      </c>
      <c r="L152" s="18">
        <f>MAX(0,L150)*Model!$B$23</f>
        <v/>
      </c>
      <c r="N152" s="19">
        <f>SUM(C152:L152)</f>
        <v/>
      </c>
    </row>
    <row r="153">
      <c r="A153" t="inlineStr">
        <is>
          <t>After-tax cash flow</t>
        </is>
      </c>
      <c r="B153" t="inlineStr">
        <is>
          <t>$M</t>
        </is>
      </c>
      <c r="C153" s="18">
        <f>C150-C152</f>
        <v/>
      </c>
      <c r="D153" s="18">
        <f>D150-D152</f>
        <v/>
      </c>
      <c r="E153" s="18">
        <f>E150-E152</f>
        <v/>
      </c>
      <c r="F153" s="18">
        <f>F150-F152</f>
        <v/>
      </c>
      <c r="G153" s="18">
        <f>G150-G152</f>
        <v/>
      </c>
      <c r="H153" s="18">
        <f>H150-H152</f>
        <v/>
      </c>
      <c r="I153" s="18">
        <f>I150-I152</f>
        <v/>
      </c>
      <c r="J153" s="18">
        <f>J150-J152</f>
        <v/>
      </c>
      <c r="K153" s="18">
        <f>K150-K152</f>
        <v/>
      </c>
      <c r="L153" s="18">
        <f>L150-L152</f>
        <v/>
      </c>
      <c r="N153" s="19">
        <f>SUM(C153:L153)</f>
        <v/>
      </c>
    </row>
    <row r="154">
      <c r="A154" t="inlineStr">
        <is>
          <t>Present value</t>
        </is>
      </c>
      <c r="B154" t="inlineStr">
        <is>
          <t>$M</t>
        </is>
      </c>
      <c r="C154" s="18">
        <f>C153/(1+Model!$B$24)^C$142</f>
        <v/>
      </c>
      <c r="D154" s="18">
        <f>D153/(1+Model!$B$24)^D$142</f>
        <v/>
      </c>
      <c r="E154" s="18">
        <f>E153/(1+Model!$B$24)^E$142</f>
        <v/>
      </c>
      <c r="F154" s="18">
        <f>F153/(1+Model!$B$24)^F$142</f>
        <v/>
      </c>
      <c r="G154" s="18">
        <f>G153/(1+Model!$B$24)^G$142</f>
        <v/>
      </c>
      <c r="H154" s="18">
        <f>H153/(1+Model!$B$24)^H$142</f>
        <v/>
      </c>
      <c r="I154" s="18">
        <f>I153/(1+Model!$B$24)^I$142</f>
        <v/>
      </c>
      <c r="J154" s="18">
        <f>J153/(1+Model!$B$24)^J$142</f>
        <v/>
      </c>
      <c r="K154" s="18">
        <f>K153/(1+Model!$B$24)^K$142</f>
        <v/>
      </c>
      <c r="L154" s="18">
        <f>L153/(1+Model!$B$24)^L$142</f>
        <v/>
      </c>
      <c r="M154" s="18">
        <f>IF(ISNUMBER($B$158),$B$158,"excluded (undefined)")</f>
        <v/>
      </c>
      <c r="N154" s="19">
        <f>SUM(C154:L154)</f>
        <v/>
      </c>
    </row>
    <row r="156">
      <c r="A156" s="21" t="inlineStr">
        <is>
          <t>Sum of present values, years 1-10</t>
        </is>
      </c>
      <c r="B156" s="22">
        <f>SUM(C154:L154)</f>
        <v/>
      </c>
      <c r="C156" t="inlineStr">
        <is>
          <t>$M</t>
        </is>
      </c>
    </row>
    <row r="157">
      <c r="A157" s="21" t="inlineStr">
        <is>
          <t>Terminal value at year 10</t>
        </is>
      </c>
      <c r="B157" s="22">
        <f>IF(Model!$B$24&gt;Model!$B$28,L153*(1+Model!$B$28)/(Model!$B$24-Model!$B$28),"terminal value undefined: discount rate must exceed terminal growth")</f>
        <v/>
      </c>
      <c r="C157" t="inlineStr">
        <is>
          <t>$M</t>
        </is>
      </c>
    </row>
    <row r="158">
      <c r="A158" s="21" t="inlineStr">
        <is>
          <t>Present value of terminal value</t>
        </is>
      </c>
      <c r="B158" s="22">
        <f>IF(ISNUMBER($B$157),$B$157/(1+Model!$B$24)^L$142,"excluded (undefined)")</f>
        <v/>
      </c>
      <c r="C158" t="inlineStr">
        <is>
          <t>$M</t>
        </is>
      </c>
    </row>
    <row r="159">
      <c r="A159" s="3" t="inlineStr">
        <is>
          <t>Equity value</t>
        </is>
      </c>
      <c r="B159" s="23">
        <f>$B$156+IF(ISNUMBER($B$158),$B$158,0)-Model!$B$20</f>
        <v/>
      </c>
      <c r="C159" t="inlineStr">
        <is>
          <t>$M</t>
        </is>
      </c>
    </row>
    <row r="160">
      <c r="A160" s="21" t="inlineStr">
        <is>
          <t>Terminal value as share of equity value</t>
        </is>
      </c>
      <c r="B160" s="24">
        <f>IF(ISNUMBER($B$158),IF($B$159=0,"n/a (equity value is 0)",$B$158/$B$159),"excluded (undefined)")</f>
        <v/>
      </c>
      <c r="C160" t="inlineStr">
        <is>
          <t>fraction</t>
        </is>
      </c>
    </row>
    <row r="161">
      <c r="A161" s="21" t="inlineStr">
        <is>
          <t>Equity value / TTM revenue (price-to-sales)</t>
        </is>
      </c>
      <c r="B161" s="11">
        <f>IF(Model!$B$21=0,0,$B$159/Model!$B$21)</f>
        <v/>
      </c>
      <c r="C161" t="inlineStr">
        <is>
          <t>x</t>
        </is>
      </c>
    </row>
    <row r="164">
      <c r="A164" s="3" t="inlineStr">
        <is>
          <t>Scenario: retention = Model!A72, ring growth = Model!E70</t>
        </is>
      </c>
    </row>
    <row r="165">
      <c r="A165" s="3" t="inlineStr">
        <is>
          <t>Year</t>
        </is>
      </c>
      <c r="B165" s="3" t="inlineStr">
        <is>
          <t>Unit</t>
        </is>
      </c>
      <c r="C165" s="15" t="n">
        <v>1</v>
      </c>
      <c r="D165" s="15" t="n">
        <v>2</v>
      </c>
      <c r="E165" s="15" t="n">
        <v>3</v>
      </c>
      <c r="F165" s="15" t="n">
        <v>4</v>
      </c>
      <c r="G165" s="15" t="n">
        <v>5</v>
      </c>
      <c r="H165" s="15" t="n">
        <v>6</v>
      </c>
      <c r="I165" s="15" t="n">
        <v>7</v>
      </c>
      <c r="J165" s="15" t="n">
        <v>8</v>
      </c>
      <c r="K165" s="15" t="n">
        <v>9</v>
      </c>
      <c r="L165" s="15" t="n">
        <v>10</v>
      </c>
      <c r="M165" s="3" t="inlineStr">
        <is>
          <t>Terminal</t>
        </is>
      </c>
      <c r="N165" s="3" t="inlineStr">
        <is>
          <t>Total</t>
        </is>
      </c>
    </row>
    <row r="166">
      <c r="A166" t="inlineStr">
        <is>
          <t>Rings sold</t>
        </is>
      </c>
      <c r="B166" t="inlineStr">
        <is>
          <t>M</t>
        </is>
      </c>
      <c r="C166" s="16">
        <f>Model!$B$17*(1+Model!$E$70)^MIN(C$165,Model!$B$26)</f>
        <v/>
      </c>
      <c r="D166" s="16">
        <f>Model!$B$17*(1+Model!$E$70)^MIN(D$165,Model!$B$26)</f>
        <v/>
      </c>
      <c r="E166" s="16">
        <f>Model!$B$17*(1+Model!$E$70)^MIN(E$165,Model!$B$26)</f>
        <v/>
      </c>
      <c r="F166" s="16">
        <f>Model!$B$17*(1+Model!$E$70)^MIN(F$165,Model!$B$26)</f>
        <v/>
      </c>
      <c r="G166" s="16">
        <f>Model!$B$17*(1+Model!$E$70)^MIN(G$165,Model!$B$26)</f>
        <v/>
      </c>
      <c r="H166" s="16">
        <f>Model!$B$17*(1+Model!$E$70)^MIN(H$165,Model!$B$26)</f>
        <v/>
      </c>
      <c r="I166" s="16">
        <f>Model!$B$17*(1+Model!$E$70)^MIN(I$165,Model!$B$26)</f>
        <v/>
      </c>
      <c r="J166" s="16">
        <f>Model!$B$17*(1+Model!$E$70)^MIN(J$165,Model!$B$26)</f>
        <v/>
      </c>
      <c r="K166" s="16">
        <f>Model!$B$17*(1+Model!$E$70)^MIN(K$165,Model!$B$26)</f>
        <v/>
      </c>
      <c r="L166" s="16">
        <f>Model!$B$17*(1+Model!$E$70)^MIN(L$165,Model!$B$26)</f>
        <v/>
      </c>
      <c r="N166" s="17">
        <f>SUM(C166:L166)</f>
        <v/>
      </c>
    </row>
    <row r="167">
      <c r="A167" t="inlineStr">
        <is>
          <t>New paid members</t>
        </is>
      </c>
      <c r="B167" t="inlineStr">
        <is>
          <t>M</t>
        </is>
      </c>
      <c r="C167" s="16">
        <f>C166*(1-Model!$B$13)*Model!$B$12</f>
        <v/>
      </c>
      <c r="D167" s="16">
        <f>D166*(1-Model!$B$13)*Model!$B$12</f>
        <v/>
      </c>
      <c r="E167" s="16">
        <f>E166*(1-Model!$B$13)*Model!$B$12</f>
        <v/>
      </c>
      <c r="F167" s="16">
        <f>F166*(1-Model!$B$13)*Model!$B$12</f>
        <v/>
      </c>
      <c r="G167" s="16">
        <f>G166*(1-Model!$B$13)*Model!$B$12</f>
        <v/>
      </c>
      <c r="H167" s="16">
        <f>H166*(1-Model!$B$13)*Model!$B$12</f>
        <v/>
      </c>
      <c r="I167" s="16">
        <f>I166*(1-Model!$B$13)*Model!$B$12</f>
        <v/>
      </c>
      <c r="J167" s="16">
        <f>J166*(1-Model!$B$13)*Model!$B$12</f>
        <v/>
      </c>
      <c r="K167" s="16">
        <f>K166*(1-Model!$B$13)*Model!$B$12</f>
        <v/>
      </c>
      <c r="L167" s="16">
        <f>L166*(1-Model!$B$13)*Model!$B$12</f>
        <v/>
      </c>
      <c r="N167" s="17">
        <f>SUM(C167:L167)</f>
        <v/>
      </c>
    </row>
    <row r="168">
      <c r="A168" t="inlineStr">
        <is>
          <t>Paid members</t>
        </is>
      </c>
      <c r="B168" t="inlineStr">
        <is>
          <t>M</t>
        </is>
      </c>
      <c r="C168" s="16">
        <f>Model!$B$18*Model!$A$72+C167</f>
        <v/>
      </c>
      <c r="D168" s="16">
        <f>C168*Model!$A$72+D167</f>
        <v/>
      </c>
      <c r="E168" s="16">
        <f>D168*Model!$A$72+E167</f>
        <v/>
      </c>
      <c r="F168" s="16">
        <f>E168*Model!$A$72+F167</f>
        <v/>
      </c>
      <c r="G168" s="16">
        <f>F168*Model!$A$72+G167</f>
        <v/>
      </c>
      <c r="H168" s="16">
        <f>G168*Model!$A$72+H167</f>
        <v/>
      </c>
      <c r="I168" s="16">
        <f>H168*Model!$A$72+I167</f>
        <v/>
      </c>
      <c r="J168" s="16">
        <f>I168*Model!$A$72+J167</f>
        <v/>
      </c>
      <c r="K168" s="16">
        <f>J168*Model!$A$72+K167</f>
        <v/>
      </c>
      <c r="L168" s="16">
        <f>K168*Model!$A$72+L167</f>
        <v/>
      </c>
    </row>
    <row r="169">
      <c r="A169" t="inlineStr">
        <is>
          <t>Revenue (hardware + membership)</t>
        </is>
      </c>
      <c r="B169" t="inlineStr">
        <is>
          <t>$M</t>
        </is>
      </c>
      <c r="C169" s="18">
        <f>C166*Model!$B$8+C168*IF(Model!$A$72&gt;0,1,0)*Model!$B$10</f>
        <v/>
      </c>
      <c r="D169" s="18">
        <f>D166*Model!$B$8+D168*IF(Model!$A$72&gt;0,1,0)*Model!$B$10</f>
        <v/>
      </c>
      <c r="E169" s="18">
        <f>E166*Model!$B$8+E168*IF(Model!$A$72&gt;0,1,0)*Model!$B$10</f>
        <v/>
      </c>
      <c r="F169" s="18">
        <f>F166*Model!$B$8+F168*IF(Model!$A$72&gt;0,1,0)*Model!$B$10</f>
        <v/>
      </c>
      <c r="G169" s="18">
        <f>G166*Model!$B$8+G168*IF(Model!$A$72&gt;0,1,0)*Model!$B$10</f>
        <v/>
      </c>
      <c r="H169" s="18">
        <f>H166*Model!$B$8+H168*IF(Model!$A$72&gt;0,1,0)*Model!$B$10</f>
        <v/>
      </c>
      <c r="I169" s="18">
        <f>I166*Model!$B$8+I168*IF(Model!$A$72&gt;0,1,0)*Model!$B$10</f>
        <v/>
      </c>
      <c r="J169" s="18">
        <f>J166*Model!$B$8+J168*IF(Model!$A$72&gt;0,1,0)*Model!$B$10</f>
        <v/>
      </c>
      <c r="K169" s="18">
        <f>K166*Model!$B$8+K168*IF(Model!$A$72&gt;0,1,0)*Model!$B$10</f>
        <v/>
      </c>
      <c r="L169" s="18">
        <f>L166*Model!$B$8+L168*IF(Model!$A$72&gt;0,1,0)*Model!$B$10</f>
        <v/>
      </c>
      <c r="N169" s="19">
        <f>SUM(C169:L169)</f>
        <v/>
      </c>
    </row>
    <row r="170">
      <c r="A170" t="inlineStr">
        <is>
          <t>Membership gross profit</t>
        </is>
      </c>
      <c r="B170" t="inlineStr">
        <is>
          <t>$M</t>
        </is>
      </c>
      <c r="C170" s="18">
        <f>C168*IF(Model!$A$72&gt;0,1,0)*Model!$B$10*Model!$B$11</f>
        <v/>
      </c>
      <c r="D170" s="18">
        <f>D168*IF(Model!$A$72&gt;0,1,0)*Model!$B$10*Model!$B$11</f>
        <v/>
      </c>
      <c r="E170" s="18">
        <f>E168*IF(Model!$A$72&gt;0,1,0)*Model!$B$10*Model!$B$11</f>
        <v/>
      </c>
      <c r="F170" s="18">
        <f>F168*IF(Model!$A$72&gt;0,1,0)*Model!$B$10*Model!$B$11</f>
        <v/>
      </c>
      <c r="G170" s="18">
        <f>G168*IF(Model!$A$72&gt;0,1,0)*Model!$B$10*Model!$B$11</f>
        <v/>
      </c>
      <c r="H170" s="18">
        <f>H168*IF(Model!$A$72&gt;0,1,0)*Model!$B$10*Model!$B$11</f>
        <v/>
      </c>
      <c r="I170" s="18">
        <f>I168*IF(Model!$A$72&gt;0,1,0)*Model!$B$10*Model!$B$11</f>
        <v/>
      </c>
      <c r="J170" s="18">
        <f>J168*IF(Model!$A$72&gt;0,1,0)*Model!$B$10*Model!$B$11</f>
        <v/>
      </c>
      <c r="K170" s="18">
        <f>K168*IF(Model!$A$72&gt;0,1,0)*Model!$B$10*Model!$B$11</f>
        <v/>
      </c>
      <c r="L170" s="18">
        <f>L168*IF(Model!$A$72&gt;0,1,0)*Model!$B$10*Model!$B$11</f>
        <v/>
      </c>
      <c r="N170" s="19">
        <f>SUM(C170:L170)</f>
        <v/>
      </c>
    </row>
    <row r="171">
      <c r="A171" t="inlineStr">
        <is>
          <t>Hardware contribution</t>
        </is>
      </c>
      <c r="B171" t="inlineStr">
        <is>
          <t>$M</t>
        </is>
      </c>
      <c r="C171" s="18">
        <f>C166*Model!$B$34</f>
        <v/>
      </c>
      <c r="D171" s="18">
        <f>D166*Model!$B$34</f>
        <v/>
      </c>
      <c r="E171" s="18">
        <f>E166*Model!$B$34</f>
        <v/>
      </c>
      <c r="F171" s="18">
        <f>F166*Model!$B$34</f>
        <v/>
      </c>
      <c r="G171" s="18">
        <f>G166*Model!$B$34</f>
        <v/>
      </c>
      <c r="H171" s="18">
        <f>H166*Model!$B$34</f>
        <v/>
      </c>
      <c r="I171" s="18">
        <f>I166*Model!$B$34</f>
        <v/>
      </c>
      <c r="J171" s="18">
        <f>J166*Model!$B$34</f>
        <v/>
      </c>
      <c r="K171" s="18">
        <f>K166*Model!$B$34</f>
        <v/>
      </c>
      <c r="L171" s="18">
        <f>L166*Model!$B$34</f>
        <v/>
      </c>
      <c r="N171" s="19">
        <f>SUM(C171:L171)</f>
        <v/>
      </c>
    </row>
    <row r="172">
      <c r="A172" t="inlineStr">
        <is>
          <t>Fixed costs (R&amp;D + G&amp;A)</t>
        </is>
      </c>
      <c r="B172" t="inlineStr">
        <is>
          <t>$M</t>
        </is>
      </c>
      <c r="C172" s="18">
        <f>Model!$B$19*(1+Model!$B$27)^MIN(C$165,Model!$B$26)</f>
        <v/>
      </c>
      <c r="D172" s="18">
        <f>Model!$B$19*(1+Model!$B$27)^MIN(D$165,Model!$B$26)</f>
        <v/>
      </c>
      <c r="E172" s="18">
        <f>Model!$B$19*(1+Model!$B$27)^MIN(E$165,Model!$B$26)</f>
        <v/>
      </c>
      <c r="F172" s="18">
        <f>Model!$B$19*(1+Model!$B$27)^MIN(F$165,Model!$B$26)</f>
        <v/>
      </c>
      <c r="G172" s="18">
        <f>Model!$B$19*(1+Model!$B$27)^MIN(G$165,Model!$B$26)</f>
        <v/>
      </c>
      <c r="H172" s="18">
        <f>Model!$B$19*(1+Model!$B$27)^MIN(H$165,Model!$B$26)</f>
        <v/>
      </c>
      <c r="I172" s="18">
        <f>Model!$B$19*(1+Model!$B$27)^MIN(I$165,Model!$B$26)</f>
        <v/>
      </c>
      <c r="J172" s="18">
        <f>Model!$B$19*(1+Model!$B$27)^MIN(J$165,Model!$B$26)</f>
        <v/>
      </c>
      <c r="K172" s="18">
        <f>Model!$B$19*(1+Model!$B$27)^MIN(K$165,Model!$B$26)</f>
        <v/>
      </c>
      <c r="L172" s="18">
        <f>Model!$B$19*(1+Model!$B$27)^MIN(L$165,Model!$B$26)</f>
        <v/>
      </c>
      <c r="N172" s="19">
        <f>SUM(C172:L172)</f>
        <v/>
      </c>
    </row>
    <row r="173">
      <c r="A173" t="inlineStr">
        <is>
          <t>Operating profit  ⚠ full-year membership credit in every cohort's acquisition year (see the year-one flag on the web page); reported nine-month income from operations was $71.2M</t>
        </is>
      </c>
      <c r="B173" t="inlineStr">
        <is>
          <t>$M</t>
        </is>
      </c>
      <c r="C173" s="18">
        <f>C170+C171-C172</f>
        <v/>
      </c>
      <c r="D173" s="18">
        <f>D170+D171-D172</f>
        <v/>
      </c>
      <c r="E173" s="18">
        <f>E170+E171-E172</f>
        <v/>
      </c>
      <c r="F173" s="18">
        <f>F170+F171-F172</f>
        <v/>
      </c>
      <c r="G173" s="18">
        <f>G170+G171-G172</f>
        <v/>
      </c>
      <c r="H173" s="18">
        <f>H170+H171-H172</f>
        <v/>
      </c>
      <c r="I173" s="18">
        <f>I170+I171-I172</f>
        <v/>
      </c>
      <c r="J173" s="18">
        <f>J170+J171-J172</f>
        <v/>
      </c>
      <c r="K173" s="18">
        <f>K170+K171-K172</f>
        <v/>
      </c>
      <c r="L173" s="18">
        <f>L170+L171-L172</f>
        <v/>
      </c>
      <c r="N173" s="19">
        <f>SUM(C173:L173)</f>
        <v/>
      </c>
    </row>
    <row r="174">
      <c r="A174" t="inlineStr">
        <is>
          <t>Operating margin</t>
        </is>
      </c>
      <c r="B174" t="inlineStr">
        <is>
          <t>fraction</t>
        </is>
      </c>
      <c r="C174" s="20">
        <f>IF(C169=0,0,C173/C169)</f>
        <v/>
      </c>
      <c r="D174" s="20">
        <f>IF(D169=0,0,D173/D169)</f>
        <v/>
      </c>
      <c r="E174" s="20">
        <f>IF(E169=0,0,E173/E169)</f>
        <v/>
      </c>
      <c r="F174" s="20">
        <f>IF(F169=0,0,F173/F169)</f>
        <v/>
      </c>
      <c r="G174" s="20">
        <f>IF(G169=0,0,G173/G169)</f>
        <v/>
      </c>
      <c r="H174" s="20">
        <f>IF(H169=0,0,H173/H169)</f>
        <v/>
      </c>
      <c r="I174" s="20">
        <f>IF(I169=0,0,I173/I169)</f>
        <v/>
      </c>
      <c r="J174" s="20">
        <f>IF(J169=0,0,J173/J169)</f>
        <v/>
      </c>
      <c r="K174" s="20">
        <f>IF(K169=0,0,K173/K169)</f>
        <v/>
      </c>
      <c r="L174" s="20">
        <f>IF(L169=0,0,L173/L169)</f>
        <v/>
      </c>
    </row>
    <row r="175">
      <c r="A175" t="inlineStr">
        <is>
          <t>Tax</t>
        </is>
      </c>
      <c r="B175" t="inlineStr">
        <is>
          <t>$M</t>
        </is>
      </c>
      <c r="C175" s="18">
        <f>MAX(0,C173)*Model!$B$23</f>
        <v/>
      </c>
      <c r="D175" s="18">
        <f>MAX(0,D173)*Model!$B$23</f>
        <v/>
      </c>
      <c r="E175" s="18">
        <f>MAX(0,E173)*Model!$B$23</f>
        <v/>
      </c>
      <c r="F175" s="18">
        <f>MAX(0,F173)*Model!$B$23</f>
        <v/>
      </c>
      <c r="G175" s="18">
        <f>MAX(0,G173)*Model!$B$23</f>
        <v/>
      </c>
      <c r="H175" s="18">
        <f>MAX(0,H173)*Model!$B$23</f>
        <v/>
      </c>
      <c r="I175" s="18">
        <f>MAX(0,I173)*Model!$B$23</f>
        <v/>
      </c>
      <c r="J175" s="18">
        <f>MAX(0,J173)*Model!$B$23</f>
        <v/>
      </c>
      <c r="K175" s="18">
        <f>MAX(0,K173)*Model!$B$23</f>
        <v/>
      </c>
      <c r="L175" s="18">
        <f>MAX(0,L173)*Model!$B$23</f>
        <v/>
      </c>
      <c r="N175" s="19">
        <f>SUM(C175:L175)</f>
        <v/>
      </c>
    </row>
    <row r="176">
      <c r="A176" t="inlineStr">
        <is>
          <t>After-tax cash flow</t>
        </is>
      </c>
      <c r="B176" t="inlineStr">
        <is>
          <t>$M</t>
        </is>
      </c>
      <c r="C176" s="18">
        <f>C173-C175</f>
        <v/>
      </c>
      <c r="D176" s="18">
        <f>D173-D175</f>
        <v/>
      </c>
      <c r="E176" s="18">
        <f>E173-E175</f>
        <v/>
      </c>
      <c r="F176" s="18">
        <f>F173-F175</f>
        <v/>
      </c>
      <c r="G176" s="18">
        <f>G173-G175</f>
        <v/>
      </c>
      <c r="H176" s="18">
        <f>H173-H175</f>
        <v/>
      </c>
      <c r="I176" s="18">
        <f>I173-I175</f>
        <v/>
      </c>
      <c r="J176" s="18">
        <f>J173-J175</f>
        <v/>
      </c>
      <c r="K176" s="18">
        <f>K173-K175</f>
        <v/>
      </c>
      <c r="L176" s="18">
        <f>L173-L175</f>
        <v/>
      </c>
      <c r="N176" s="19">
        <f>SUM(C176:L176)</f>
        <v/>
      </c>
    </row>
    <row r="177">
      <c r="A177" t="inlineStr">
        <is>
          <t>Present value</t>
        </is>
      </c>
      <c r="B177" t="inlineStr">
        <is>
          <t>$M</t>
        </is>
      </c>
      <c r="C177" s="18">
        <f>C176/(1+Model!$B$24)^C$165</f>
        <v/>
      </c>
      <c r="D177" s="18">
        <f>D176/(1+Model!$B$24)^D$165</f>
        <v/>
      </c>
      <c r="E177" s="18">
        <f>E176/(1+Model!$B$24)^E$165</f>
        <v/>
      </c>
      <c r="F177" s="18">
        <f>F176/(1+Model!$B$24)^F$165</f>
        <v/>
      </c>
      <c r="G177" s="18">
        <f>G176/(1+Model!$B$24)^G$165</f>
        <v/>
      </c>
      <c r="H177" s="18">
        <f>H176/(1+Model!$B$24)^H$165</f>
        <v/>
      </c>
      <c r="I177" s="18">
        <f>I176/(1+Model!$B$24)^I$165</f>
        <v/>
      </c>
      <c r="J177" s="18">
        <f>J176/(1+Model!$B$24)^J$165</f>
        <v/>
      </c>
      <c r="K177" s="18">
        <f>K176/(1+Model!$B$24)^K$165</f>
        <v/>
      </c>
      <c r="L177" s="18">
        <f>L176/(1+Model!$B$24)^L$165</f>
        <v/>
      </c>
      <c r="M177" s="18">
        <f>IF(ISNUMBER($B$181),$B$181,"excluded (undefined)")</f>
        <v/>
      </c>
      <c r="N177" s="19">
        <f>SUM(C177:L177)</f>
        <v/>
      </c>
    </row>
    <row r="179">
      <c r="A179" s="21" t="inlineStr">
        <is>
          <t>Sum of present values, years 1-10</t>
        </is>
      </c>
      <c r="B179" s="22">
        <f>SUM(C177:L177)</f>
        <v/>
      </c>
      <c r="C179" t="inlineStr">
        <is>
          <t>$M</t>
        </is>
      </c>
    </row>
    <row r="180">
      <c r="A180" s="21" t="inlineStr">
        <is>
          <t>Terminal value at year 10</t>
        </is>
      </c>
      <c r="B180" s="22">
        <f>IF(Model!$B$24&gt;Model!$B$28,L176*(1+Model!$B$28)/(Model!$B$24-Model!$B$28),"terminal value undefined: discount rate must exceed terminal growth")</f>
        <v/>
      </c>
      <c r="C180" t="inlineStr">
        <is>
          <t>$M</t>
        </is>
      </c>
    </row>
    <row r="181">
      <c r="A181" s="21" t="inlineStr">
        <is>
          <t>Present value of terminal value</t>
        </is>
      </c>
      <c r="B181" s="22">
        <f>IF(ISNUMBER($B$180),$B$180/(1+Model!$B$24)^L$165,"excluded (undefined)")</f>
        <v/>
      </c>
      <c r="C181" t="inlineStr">
        <is>
          <t>$M</t>
        </is>
      </c>
    </row>
    <row r="182">
      <c r="A182" s="3" t="inlineStr">
        <is>
          <t>Equity value</t>
        </is>
      </c>
      <c r="B182" s="23">
        <f>$B$179+IF(ISNUMBER($B$181),$B$181,0)-Model!$B$20</f>
        <v/>
      </c>
      <c r="C182" t="inlineStr">
        <is>
          <t>$M</t>
        </is>
      </c>
    </row>
    <row r="183">
      <c r="A183" s="21" t="inlineStr">
        <is>
          <t>Terminal value as share of equity value</t>
        </is>
      </c>
      <c r="B183" s="24">
        <f>IF(ISNUMBER($B$181),IF($B$182=0,"n/a (equity value is 0)",$B$181/$B$182),"excluded (undefined)")</f>
        <v/>
      </c>
      <c r="C183" t="inlineStr">
        <is>
          <t>fraction</t>
        </is>
      </c>
    </row>
    <row r="184">
      <c r="A184" s="21" t="inlineStr">
        <is>
          <t>Equity value / TTM revenue (price-to-sales)</t>
        </is>
      </c>
      <c r="B184" s="11">
        <f>IF(Model!$B$21=0,0,$B$182/Model!$B$21)</f>
        <v/>
      </c>
      <c r="C184" t="inlineStr">
        <is>
          <t>x</t>
        </is>
      </c>
    </row>
    <row r="187">
      <c r="A187" s="3" t="inlineStr">
        <is>
          <t>Scenario: retention = Model!A73, ring growth = Model!B70</t>
        </is>
      </c>
    </row>
    <row r="188">
      <c r="A188" s="3" t="inlineStr">
        <is>
          <t>Year</t>
        </is>
      </c>
      <c r="B188" s="3" t="inlineStr">
        <is>
          <t>Unit</t>
        </is>
      </c>
      <c r="C188" s="15" t="n">
        <v>1</v>
      </c>
      <c r="D188" s="15" t="n">
        <v>2</v>
      </c>
      <c r="E188" s="15" t="n">
        <v>3</v>
      </c>
      <c r="F188" s="15" t="n">
        <v>4</v>
      </c>
      <c r="G188" s="15" t="n">
        <v>5</v>
      </c>
      <c r="H188" s="15" t="n">
        <v>6</v>
      </c>
      <c r="I188" s="15" t="n">
        <v>7</v>
      </c>
      <c r="J188" s="15" t="n">
        <v>8</v>
      </c>
      <c r="K188" s="15" t="n">
        <v>9</v>
      </c>
      <c r="L188" s="15" t="n">
        <v>10</v>
      </c>
      <c r="M188" s="3" t="inlineStr">
        <is>
          <t>Terminal</t>
        </is>
      </c>
      <c r="N188" s="3" t="inlineStr">
        <is>
          <t>Total</t>
        </is>
      </c>
    </row>
    <row r="189">
      <c r="A189" t="inlineStr">
        <is>
          <t>Rings sold</t>
        </is>
      </c>
      <c r="B189" t="inlineStr">
        <is>
          <t>M</t>
        </is>
      </c>
      <c r="C189" s="16">
        <f>Model!$B$17*(1+Model!$B$70)^MIN(C$188,Model!$B$26)</f>
        <v/>
      </c>
      <c r="D189" s="16">
        <f>Model!$B$17*(1+Model!$B$70)^MIN(D$188,Model!$B$26)</f>
        <v/>
      </c>
      <c r="E189" s="16">
        <f>Model!$B$17*(1+Model!$B$70)^MIN(E$188,Model!$B$26)</f>
        <v/>
      </c>
      <c r="F189" s="16">
        <f>Model!$B$17*(1+Model!$B$70)^MIN(F$188,Model!$B$26)</f>
        <v/>
      </c>
      <c r="G189" s="16">
        <f>Model!$B$17*(1+Model!$B$70)^MIN(G$188,Model!$B$26)</f>
        <v/>
      </c>
      <c r="H189" s="16">
        <f>Model!$B$17*(1+Model!$B$70)^MIN(H$188,Model!$B$26)</f>
        <v/>
      </c>
      <c r="I189" s="16">
        <f>Model!$B$17*(1+Model!$B$70)^MIN(I$188,Model!$B$26)</f>
        <v/>
      </c>
      <c r="J189" s="16">
        <f>Model!$B$17*(1+Model!$B$70)^MIN(J$188,Model!$B$26)</f>
        <v/>
      </c>
      <c r="K189" s="16">
        <f>Model!$B$17*(1+Model!$B$70)^MIN(K$188,Model!$B$26)</f>
        <v/>
      </c>
      <c r="L189" s="16">
        <f>Model!$B$17*(1+Model!$B$70)^MIN(L$188,Model!$B$26)</f>
        <v/>
      </c>
      <c r="N189" s="17">
        <f>SUM(C189:L189)</f>
        <v/>
      </c>
    </row>
    <row r="190">
      <c r="A190" t="inlineStr">
        <is>
          <t>New paid members</t>
        </is>
      </c>
      <c r="B190" t="inlineStr">
        <is>
          <t>M</t>
        </is>
      </c>
      <c r="C190" s="16">
        <f>C189*(1-Model!$B$13)*Model!$B$12</f>
        <v/>
      </c>
      <c r="D190" s="16">
        <f>D189*(1-Model!$B$13)*Model!$B$12</f>
        <v/>
      </c>
      <c r="E190" s="16">
        <f>E189*(1-Model!$B$13)*Model!$B$12</f>
        <v/>
      </c>
      <c r="F190" s="16">
        <f>F189*(1-Model!$B$13)*Model!$B$12</f>
        <v/>
      </c>
      <c r="G190" s="16">
        <f>G189*(1-Model!$B$13)*Model!$B$12</f>
        <v/>
      </c>
      <c r="H190" s="16">
        <f>H189*(1-Model!$B$13)*Model!$B$12</f>
        <v/>
      </c>
      <c r="I190" s="16">
        <f>I189*(1-Model!$B$13)*Model!$B$12</f>
        <v/>
      </c>
      <c r="J190" s="16">
        <f>J189*(1-Model!$B$13)*Model!$B$12</f>
        <v/>
      </c>
      <c r="K190" s="16">
        <f>K189*(1-Model!$B$13)*Model!$B$12</f>
        <v/>
      </c>
      <c r="L190" s="16">
        <f>L189*(1-Model!$B$13)*Model!$B$12</f>
        <v/>
      </c>
      <c r="N190" s="17">
        <f>SUM(C190:L190)</f>
        <v/>
      </c>
    </row>
    <row r="191">
      <c r="A191" t="inlineStr">
        <is>
          <t>Paid members</t>
        </is>
      </c>
      <c r="B191" t="inlineStr">
        <is>
          <t>M</t>
        </is>
      </c>
      <c r="C191" s="16">
        <f>Model!$B$18*Model!$A$73+C190</f>
        <v/>
      </c>
      <c r="D191" s="16">
        <f>C191*Model!$A$73+D190</f>
        <v/>
      </c>
      <c r="E191" s="16">
        <f>D191*Model!$A$73+E190</f>
        <v/>
      </c>
      <c r="F191" s="16">
        <f>E191*Model!$A$73+F190</f>
        <v/>
      </c>
      <c r="G191" s="16">
        <f>F191*Model!$A$73+G190</f>
        <v/>
      </c>
      <c r="H191" s="16">
        <f>G191*Model!$A$73+H190</f>
        <v/>
      </c>
      <c r="I191" s="16">
        <f>H191*Model!$A$73+I190</f>
        <v/>
      </c>
      <c r="J191" s="16">
        <f>I191*Model!$A$73+J190</f>
        <v/>
      </c>
      <c r="K191" s="16">
        <f>J191*Model!$A$73+K190</f>
        <v/>
      </c>
      <c r="L191" s="16">
        <f>K191*Model!$A$73+L190</f>
        <v/>
      </c>
    </row>
    <row r="192">
      <c r="A192" t="inlineStr">
        <is>
          <t>Revenue (hardware + membership)</t>
        </is>
      </c>
      <c r="B192" t="inlineStr">
        <is>
          <t>$M</t>
        </is>
      </c>
      <c r="C192" s="18">
        <f>C189*Model!$B$8+C191*IF(Model!$A$73&gt;0,1,0)*Model!$B$10</f>
        <v/>
      </c>
      <c r="D192" s="18">
        <f>D189*Model!$B$8+D191*IF(Model!$A$73&gt;0,1,0)*Model!$B$10</f>
        <v/>
      </c>
      <c r="E192" s="18">
        <f>E189*Model!$B$8+E191*IF(Model!$A$73&gt;0,1,0)*Model!$B$10</f>
        <v/>
      </c>
      <c r="F192" s="18">
        <f>F189*Model!$B$8+F191*IF(Model!$A$73&gt;0,1,0)*Model!$B$10</f>
        <v/>
      </c>
      <c r="G192" s="18">
        <f>G189*Model!$B$8+G191*IF(Model!$A$73&gt;0,1,0)*Model!$B$10</f>
        <v/>
      </c>
      <c r="H192" s="18">
        <f>H189*Model!$B$8+H191*IF(Model!$A$73&gt;0,1,0)*Model!$B$10</f>
        <v/>
      </c>
      <c r="I192" s="18">
        <f>I189*Model!$B$8+I191*IF(Model!$A$73&gt;0,1,0)*Model!$B$10</f>
        <v/>
      </c>
      <c r="J192" s="18">
        <f>J189*Model!$B$8+J191*IF(Model!$A$73&gt;0,1,0)*Model!$B$10</f>
        <v/>
      </c>
      <c r="K192" s="18">
        <f>K189*Model!$B$8+K191*IF(Model!$A$73&gt;0,1,0)*Model!$B$10</f>
        <v/>
      </c>
      <c r="L192" s="18">
        <f>L189*Model!$B$8+L191*IF(Model!$A$73&gt;0,1,0)*Model!$B$10</f>
        <v/>
      </c>
      <c r="N192" s="19">
        <f>SUM(C192:L192)</f>
        <v/>
      </c>
    </row>
    <row r="193">
      <c r="A193" t="inlineStr">
        <is>
          <t>Membership gross profit</t>
        </is>
      </c>
      <c r="B193" t="inlineStr">
        <is>
          <t>$M</t>
        </is>
      </c>
      <c r="C193" s="18">
        <f>C191*IF(Model!$A$73&gt;0,1,0)*Model!$B$10*Model!$B$11</f>
        <v/>
      </c>
      <c r="D193" s="18">
        <f>D191*IF(Model!$A$73&gt;0,1,0)*Model!$B$10*Model!$B$11</f>
        <v/>
      </c>
      <c r="E193" s="18">
        <f>E191*IF(Model!$A$73&gt;0,1,0)*Model!$B$10*Model!$B$11</f>
        <v/>
      </c>
      <c r="F193" s="18">
        <f>F191*IF(Model!$A$73&gt;0,1,0)*Model!$B$10*Model!$B$11</f>
        <v/>
      </c>
      <c r="G193" s="18">
        <f>G191*IF(Model!$A$73&gt;0,1,0)*Model!$B$10*Model!$B$11</f>
        <v/>
      </c>
      <c r="H193" s="18">
        <f>H191*IF(Model!$A$73&gt;0,1,0)*Model!$B$10*Model!$B$11</f>
        <v/>
      </c>
      <c r="I193" s="18">
        <f>I191*IF(Model!$A$73&gt;0,1,0)*Model!$B$10*Model!$B$11</f>
        <v/>
      </c>
      <c r="J193" s="18">
        <f>J191*IF(Model!$A$73&gt;0,1,0)*Model!$B$10*Model!$B$11</f>
        <v/>
      </c>
      <c r="K193" s="18">
        <f>K191*IF(Model!$A$73&gt;0,1,0)*Model!$B$10*Model!$B$11</f>
        <v/>
      </c>
      <c r="L193" s="18">
        <f>L191*IF(Model!$A$73&gt;0,1,0)*Model!$B$10*Model!$B$11</f>
        <v/>
      </c>
      <c r="N193" s="19">
        <f>SUM(C193:L193)</f>
        <v/>
      </c>
    </row>
    <row r="194">
      <c r="A194" t="inlineStr">
        <is>
          <t>Hardware contribution</t>
        </is>
      </c>
      <c r="B194" t="inlineStr">
        <is>
          <t>$M</t>
        </is>
      </c>
      <c r="C194" s="18">
        <f>C189*Model!$B$34</f>
        <v/>
      </c>
      <c r="D194" s="18">
        <f>D189*Model!$B$34</f>
        <v/>
      </c>
      <c r="E194" s="18">
        <f>E189*Model!$B$34</f>
        <v/>
      </c>
      <c r="F194" s="18">
        <f>F189*Model!$B$34</f>
        <v/>
      </c>
      <c r="G194" s="18">
        <f>G189*Model!$B$34</f>
        <v/>
      </c>
      <c r="H194" s="18">
        <f>H189*Model!$B$34</f>
        <v/>
      </c>
      <c r="I194" s="18">
        <f>I189*Model!$B$34</f>
        <v/>
      </c>
      <c r="J194" s="18">
        <f>J189*Model!$B$34</f>
        <v/>
      </c>
      <c r="K194" s="18">
        <f>K189*Model!$B$34</f>
        <v/>
      </c>
      <c r="L194" s="18">
        <f>L189*Model!$B$34</f>
        <v/>
      </c>
      <c r="N194" s="19">
        <f>SUM(C194:L194)</f>
        <v/>
      </c>
    </row>
    <row r="195">
      <c r="A195" t="inlineStr">
        <is>
          <t>Fixed costs (R&amp;D + G&amp;A)</t>
        </is>
      </c>
      <c r="B195" t="inlineStr">
        <is>
          <t>$M</t>
        </is>
      </c>
      <c r="C195" s="18">
        <f>Model!$B$19*(1+Model!$B$27)^MIN(C$188,Model!$B$26)</f>
        <v/>
      </c>
      <c r="D195" s="18">
        <f>Model!$B$19*(1+Model!$B$27)^MIN(D$188,Model!$B$26)</f>
        <v/>
      </c>
      <c r="E195" s="18">
        <f>Model!$B$19*(1+Model!$B$27)^MIN(E$188,Model!$B$26)</f>
        <v/>
      </c>
      <c r="F195" s="18">
        <f>Model!$B$19*(1+Model!$B$27)^MIN(F$188,Model!$B$26)</f>
        <v/>
      </c>
      <c r="G195" s="18">
        <f>Model!$B$19*(1+Model!$B$27)^MIN(G$188,Model!$B$26)</f>
        <v/>
      </c>
      <c r="H195" s="18">
        <f>Model!$B$19*(1+Model!$B$27)^MIN(H$188,Model!$B$26)</f>
        <v/>
      </c>
      <c r="I195" s="18">
        <f>Model!$B$19*(1+Model!$B$27)^MIN(I$188,Model!$B$26)</f>
        <v/>
      </c>
      <c r="J195" s="18">
        <f>Model!$B$19*(1+Model!$B$27)^MIN(J$188,Model!$B$26)</f>
        <v/>
      </c>
      <c r="K195" s="18">
        <f>Model!$B$19*(1+Model!$B$27)^MIN(K$188,Model!$B$26)</f>
        <v/>
      </c>
      <c r="L195" s="18">
        <f>Model!$B$19*(1+Model!$B$27)^MIN(L$188,Model!$B$26)</f>
        <v/>
      </c>
      <c r="N195" s="19">
        <f>SUM(C195:L195)</f>
        <v/>
      </c>
    </row>
    <row r="196">
      <c r="A196" t="inlineStr">
        <is>
          <t>Operating profit  ⚠ full-year membership credit in every cohort's acquisition year (see the year-one flag on the web page); reported nine-month income from operations was $71.2M</t>
        </is>
      </c>
      <c r="B196" t="inlineStr">
        <is>
          <t>$M</t>
        </is>
      </c>
      <c r="C196" s="18">
        <f>C193+C194-C195</f>
        <v/>
      </c>
      <c r="D196" s="18">
        <f>D193+D194-D195</f>
        <v/>
      </c>
      <c r="E196" s="18">
        <f>E193+E194-E195</f>
        <v/>
      </c>
      <c r="F196" s="18">
        <f>F193+F194-F195</f>
        <v/>
      </c>
      <c r="G196" s="18">
        <f>G193+G194-G195</f>
        <v/>
      </c>
      <c r="H196" s="18">
        <f>H193+H194-H195</f>
        <v/>
      </c>
      <c r="I196" s="18">
        <f>I193+I194-I195</f>
        <v/>
      </c>
      <c r="J196" s="18">
        <f>J193+J194-J195</f>
        <v/>
      </c>
      <c r="K196" s="18">
        <f>K193+K194-K195</f>
        <v/>
      </c>
      <c r="L196" s="18">
        <f>L193+L194-L195</f>
        <v/>
      </c>
      <c r="N196" s="19">
        <f>SUM(C196:L196)</f>
        <v/>
      </c>
    </row>
    <row r="197">
      <c r="A197" t="inlineStr">
        <is>
          <t>Operating margin</t>
        </is>
      </c>
      <c r="B197" t="inlineStr">
        <is>
          <t>fraction</t>
        </is>
      </c>
      <c r="C197" s="20">
        <f>IF(C192=0,0,C196/C192)</f>
        <v/>
      </c>
      <c r="D197" s="20">
        <f>IF(D192=0,0,D196/D192)</f>
        <v/>
      </c>
      <c r="E197" s="20">
        <f>IF(E192=0,0,E196/E192)</f>
        <v/>
      </c>
      <c r="F197" s="20">
        <f>IF(F192=0,0,F196/F192)</f>
        <v/>
      </c>
      <c r="G197" s="20">
        <f>IF(G192=0,0,G196/G192)</f>
        <v/>
      </c>
      <c r="H197" s="20">
        <f>IF(H192=0,0,H196/H192)</f>
        <v/>
      </c>
      <c r="I197" s="20">
        <f>IF(I192=0,0,I196/I192)</f>
        <v/>
      </c>
      <c r="J197" s="20">
        <f>IF(J192=0,0,J196/J192)</f>
        <v/>
      </c>
      <c r="K197" s="20">
        <f>IF(K192=0,0,K196/K192)</f>
        <v/>
      </c>
      <c r="L197" s="20">
        <f>IF(L192=0,0,L196/L192)</f>
        <v/>
      </c>
    </row>
    <row r="198">
      <c r="A198" t="inlineStr">
        <is>
          <t>Tax</t>
        </is>
      </c>
      <c r="B198" t="inlineStr">
        <is>
          <t>$M</t>
        </is>
      </c>
      <c r="C198" s="18">
        <f>MAX(0,C196)*Model!$B$23</f>
        <v/>
      </c>
      <c r="D198" s="18">
        <f>MAX(0,D196)*Model!$B$23</f>
        <v/>
      </c>
      <c r="E198" s="18">
        <f>MAX(0,E196)*Model!$B$23</f>
        <v/>
      </c>
      <c r="F198" s="18">
        <f>MAX(0,F196)*Model!$B$23</f>
        <v/>
      </c>
      <c r="G198" s="18">
        <f>MAX(0,G196)*Model!$B$23</f>
        <v/>
      </c>
      <c r="H198" s="18">
        <f>MAX(0,H196)*Model!$B$23</f>
        <v/>
      </c>
      <c r="I198" s="18">
        <f>MAX(0,I196)*Model!$B$23</f>
        <v/>
      </c>
      <c r="J198" s="18">
        <f>MAX(0,J196)*Model!$B$23</f>
        <v/>
      </c>
      <c r="K198" s="18">
        <f>MAX(0,K196)*Model!$B$23</f>
        <v/>
      </c>
      <c r="L198" s="18">
        <f>MAX(0,L196)*Model!$B$23</f>
        <v/>
      </c>
      <c r="N198" s="19">
        <f>SUM(C198:L198)</f>
        <v/>
      </c>
    </row>
    <row r="199">
      <c r="A199" t="inlineStr">
        <is>
          <t>After-tax cash flow</t>
        </is>
      </c>
      <c r="B199" t="inlineStr">
        <is>
          <t>$M</t>
        </is>
      </c>
      <c r="C199" s="18">
        <f>C196-C198</f>
        <v/>
      </c>
      <c r="D199" s="18">
        <f>D196-D198</f>
        <v/>
      </c>
      <c r="E199" s="18">
        <f>E196-E198</f>
        <v/>
      </c>
      <c r="F199" s="18">
        <f>F196-F198</f>
        <v/>
      </c>
      <c r="G199" s="18">
        <f>G196-G198</f>
        <v/>
      </c>
      <c r="H199" s="18">
        <f>H196-H198</f>
        <v/>
      </c>
      <c r="I199" s="18">
        <f>I196-I198</f>
        <v/>
      </c>
      <c r="J199" s="18">
        <f>J196-J198</f>
        <v/>
      </c>
      <c r="K199" s="18">
        <f>K196-K198</f>
        <v/>
      </c>
      <c r="L199" s="18">
        <f>L196-L198</f>
        <v/>
      </c>
      <c r="N199" s="19">
        <f>SUM(C199:L199)</f>
        <v/>
      </c>
    </row>
    <row r="200">
      <c r="A200" t="inlineStr">
        <is>
          <t>Present value</t>
        </is>
      </c>
      <c r="B200" t="inlineStr">
        <is>
          <t>$M</t>
        </is>
      </c>
      <c r="C200" s="18">
        <f>C199/(1+Model!$B$24)^C$188</f>
        <v/>
      </c>
      <c r="D200" s="18">
        <f>D199/(1+Model!$B$24)^D$188</f>
        <v/>
      </c>
      <c r="E200" s="18">
        <f>E199/(1+Model!$B$24)^E$188</f>
        <v/>
      </c>
      <c r="F200" s="18">
        <f>F199/(1+Model!$B$24)^F$188</f>
        <v/>
      </c>
      <c r="G200" s="18">
        <f>G199/(1+Model!$B$24)^G$188</f>
        <v/>
      </c>
      <c r="H200" s="18">
        <f>H199/(1+Model!$B$24)^H$188</f>
        <v/>
      </c>
      <c r="I200" s="18">
        <f>I199/(1+Model!$B$24)^I$188</f>
        <v/>
      </c>
      <c r="J200" s="18">
        <f>J199/(1+Model!$B$24)^J$188</f>
        <v/>
      </c>
      <c r="K200" s="18">
        <f>K199/(1+Model!$B$24)^K$188</f>
        <v/>
      </c>
      <c r="L200" s="18">
        <f>L199/(1+Model!$B$24)^L$188</f>
        <v/>
      </c>
      <c r="M200" s="18">
        <f>IF(ISNUMBER($B$204),$B$204,"excluded (undefined)")</f>
        <v/>
      </c>
      <c r="N200" s="19">
        <f>SUM(C200:L200)</f>
        <v/>
      </c>
    </row>
    <row r="202">
      <c r="A202" s="21" t="inlineStr">
        <is>
          <t>Sum of present values, years 1-10</t>
        </is>
      </c>
      <c r="B202" s="22">
        <f>SUM(C200:L200)</f>
        <v/>
      </c>
      <c r="C202" t="inlineStr">
        <is>
          <t>$M</t>
        </is>
      </c>
    </row>
    <row r="203">
      <c r="A203" s="21" t="inlineStr">
        <is>
          <t>Terminal value at year 10</t>
        </is>
      </c>
      <c r="B203" s="22">
        <f>IF(Model!$B$24&gt;Model!$B$28,L199*(1+Model!$B$28)/(Model!$B$24-Model!$B$28),"terminal value undefined: discount rate must exceed terminal growth")</f>
        <v/>
      </c>
      <c r="C203" t="inlineStr">
        <is>
          <t>$M</t>
        </is>
      </c>
    </row>
    <row r="204">
      <c r="A204" s="21" t="inlineStr">
        <is>
          <t>Present value of terminal value</t>
        </is>
      </c>
      <c r="B204" s="22">
        <f>IF(ISNUMBER($B$203),$B$203/(1+Model!$B$24)^L$188,"excluded (undefined)")</f>
        <v/>
      </c>
      <c r="C204" t="inlineStr">
        <is>
          <t>$M</t>
        </is>
      </c>
    </row>
    <row r="205">
      <c r="A205" s="3" t="inlineStr">
        <is>
          <t>Equity value</t>
        </is>
      </c>
      <c r="B205" s="23">
        <f>$B$202+IF(ISNUMBER($B$204),$B$204,0)-Model!$B$20</f>
        <v/>
      </c>
      <c r="C205" t="inlineStr">
        <is>
          <t>$M</t>
        </is>
      </c>
    </row>
    <row r="206">
      <c r="A206" s="21" t="inlineStr">
        <is>
          <t>Terminal value as share of equity value</t>
        </is>
      </c>
      <c r="B206" s="24">
        <f>IF(ISNUMBER($B$204),IF($B$205=0,"n/a (equity value is 0)",$B$204/$B$205),"excluded (undefined)")</f>
        <v/>
      </c>
      <c r="C206" t="inlineStr">
        <is>
          <t>fraction</t>
        </is>
      </c>
    </row>
    <row r="207">
      <c r="A207" s="21" t="inlineStr">
        <is>
          <t>Equity value / TTM revenue (price-to-sales)</t>
        </is>
      </c>
      <c r="B207" s="11">
        <f>IF(Model!$B$21=0,0,$B$205/Model!$B$21)</f>
        <v/>
      </c>
      <c r="C207" t="inlineStr">
        <is>
          <t>x</t>
        </is>
      </c>
    </row>
    <row r="210">
      <c r="A210" s="3" t="inlineStr">
        <is>
          <t>Scenario: retention = Model!A73, ring growth = Model!C70</t>
        </is>
      </c>
    </row>
    <row r="211">
      <c r="A211" s="3" t="inlineStr">
        <is>
          <t>Year</t>
        </is>
      </c>
      <c r="B211" s="3" t="inlineStr">
        <is>
          <t>Unit</t>
        </is>
      </c>
      <c r="C211" s="15" t="n">
        <v>1</v>
      </c>
      <c r="D211" s="15" t="n">
        <v>2</v>
      </c>
      <c r="E211" s="15" t="n">
        <v>3</v>
      </c>
      <c r="F211" s="15" t="n">
        <v>4</v>
      </c>
      <c r="G211" s="15" t="n">
        <v>5</v>
      </c>
      <c r="H211" s="15" t="n">
        <v>6</v>
      </c>
      <c r="I211" s="15" t="n">
        <v>7</v>
      </c>
      <c r="J211" s="15" t="n">
        <v>8</v>
      </c>
      <c r="K211" s="15" t="n">
        <v>9</v>
      </c>
      <c r="L211" s="15" t="n">
        <v>10</v>
      </c>
      <c r="M211" s="3" t="inlineStr">
        <is>
          <t>Terminal</t>
        </is>
      </c>
      <c r="N211" s="3" t="inlineStr">
        <is>
          <t>Total</t>
        </is>
      </c>
    </row>
    <row r="212">
      <c r="A212" t="inlineStr">
        <is>
          <t>Rings sold</t>
        </is>
      </c>
      <c r="B212" t="inlineStr">
        <is>
          <t>M</t>
        </is>
      </c>
      <c r="C212" s="16">
        <f>Model!$B$17*(1+Model!$C$70)^MIN(C$211,Model!$B$26)</f>
        <v/>
      </c>
      <c r="D212" s="16">
        <f>Model!$B$17*(1+Model!$C$70)^MIN(D$211,Model!$B$26)</f>
        <v/>
      </c>
      <c r="E212" s="16">
        <f>Model!$B$17*(1+Model!$C$70)^MIN(E$211,Model!$B$26)</f>
        <v/>
      </c>
      <c r="F212" s="16">
        <f>Model!$B$17*(1+Model!$C$70)^MIN(F$211,Model!$B$26)</f>
        <v/>
      </c>
      <c r="G212" s="16">
        <f>Model!$B$17*(1+Model!$C$70)^MIN(G$211,Model!$B$26)</f>
        <v/>
      </c>
      <c r="H212" s="16">
        <f>Model!$B$17*(1+Model!$C$70)^MIN(H$211,Model!$B$26)</f>
        <v/>
      </c>
      <c r="I212" s="16">
        <f>Model!$B$17*(1+Model!$C$70)^MIN(I$211,Model!$B$26)</f>
        <v/>
      </c>
      <c r="J212" s="16">
        <f>Model!$B$17*(1+Model!$C$70)^MIN(J$211,Model!$B$26)</f>
        <v/>
      </c>
      <c r="K212" s="16">
        <f>Model!$B$17*(1+Model!$C$70)^MIN(K$211,Model!$B$26)</f>
        <v/>
      </c>
      <c r="L212" s="16">
        <f>Model!$B$17*(1+Model!$C$70)^MIN(L$211,Model!$B$26)</f>
        <v/>
      </c>
      <c r="N212" s="17">
        <f>SUM(C212:L212)</f>
        <v/>
      </c>
    </row>
    <row r="213">
      <c r="A213" t="inlineStr">
        <is>
          <t>New paid members</t>
        </is>
      </c>
      <c r="B213" t="inlineStr">
        <is>
          <t>M</t>
        </is>
      </c>
      <c r="C213" s="16">
        <f>C212*(1-Model!$B$13)*Model!$B$12</f>
        <v/>
      </c>
      <c r="D213" s="16">
        <f>D212*(1-Model!$B$13)*Model!$B$12</f>
        <v/>
      </c>
      <c r="E213" s="16">
        <f>E212*(1-Model!$B$13)*Model!$B$12</f>
        <v/>
      </c>
      <c r="F213" s="16">
        <f>F212*(1-Model!$B$13)*Model!$B$12</f>
        <v/>
      </c>
      <c r="G213" s="16">
        <f>G212*(1-Model!$B$13)*Model!$B$12</f>
        <v/>
      </c>
      <c r="H213" s="16">
        <f>H212*(1-Model!$B$13)*Model!$B$12</f>
        <v/>
      </c>
      <c r="I213" s="16">
        <f>I212*(1-Model!$B$13)*Model!$B$12</f>
        <v/>
      </c>
      <c r="J213" s="16">
        <f>J212*(1-Model!$B$13)*Model!$B$12</f>
        <v/>
      </c>
      <c r="K213" s="16">
        <f>K212*(1-Model!$B$13)*Model!$B$12</f>
        <v/>
      </c>
      <c r="L213" s="16">
        <f>L212*(1-Model!$B$13)*Model!$B$12</f>
        <v/>
      </c>
      <c r="N213" s="17">
        <f>SUM(C213:L213)</f>
        <v/>
      </c>
    </row>
    <row r="214">
      <c r="A214" t="inlineStr">
        <is>
          <t>Paid members</t>
        </is>
      </c>
      <c r="B214" t="inlineStr">
        <is>
          <t>M</t>
        </is>
      </c>
      <c r="C214" s="16">
        <f>Model!$B$18*Model!$A$73+C213</f>
        <v/>
      </c>
      <c r="D214" s="16">
        <f>C214*Model!$A$73+D213</f>
        <v/>
      </c>
      <c r="E214" s="16">
        <f>D214*Model!$A$73+E213</f>
        <v/>
      </c>
      <c r="F214" s="16">
        <f>E214*Model!$A$73+F213</f>
        <v/>
      </c>
      <c r="G214" s="16">
        <f>F214*Model!$A$73+G213</f>
        <v/>
      </c>
      <c r="H214" s="16">
        <f>G214*Model!$A$73+H213</f>
        <v/>
      </c>
      <c r="I214" s="16">
        <f>H214*Model!$A$73+I213</f>
        <v/>
      </c>
      <c r="J214" s="16">
        <f>I214*Model!$A$73+J213</f>
        <v/>
      </c>
      <c r="K214" s="16">
        <f>J214*Model!$A$73+K213</f>
        <v/>
      </c>
      <c r="L214" s="16">
        <f>K214*Model!$A$73+L213</f>
        <v/>
      </c>
    </row>
    <row r="215">
      <c r="A215" t="inlineStr">
        <is>
          <t>Revenue (hardware + membership)</t>
        </is>
      </c>
      <c r="B215" t="inlineStr">
        <is>
          <t>$M</t>
        </is>
      </c>
      <c r="C215" s="18">
        <f>C212*Model!$B$8+C214*IF(Model!$A$73&gt;0,1,0)*Model!$B$10</f>
        <v/>
      </c>
      <c r="D215" s="18">
        <f>D212*Model!$B$8+D214*IF(Model!$A$73&gt;0,1,0)*Model!$B$10</f>
        <v/>
      </c>
      <c r="E215" s="18">
        <f>E212*Model!$B$8+E214*IF(Model!$A$73&gt;0,1,0)*Model!$B$10</f>
        <v/>
      </c>
      <c r="F215" s="18">
        <f>F212*Model!$B$8+F214*IF(Model!$A$73&gt;0,1,0)*Model!$B$10</f>
        <v/>
      </c>
      <c r="G215" s="18">
        <f>G212*Model!$B$8+G214*IF(Model!$A$73&gt;0,1,0)*Model!$B$10</f>
        <v/>
      </c>
      <c r="H215" s="18">
        <f>H212*Model!$B$8+H214*IF(Model!$A$73&gt;0,1,0)*Model!$B$10</f>
        <v/>
      </c>
      <c r="I215" s="18">
        <f>I212*Model!$B$8+I214*IF(Model!$A$73&gt;0,1,0)*Model!$B$10</f>
        <v/>
      </c>
      <c r="J215" s="18">
        <f>J212*Model!$B$8+J214*IF(Model!$A$73&gt;0,1,0)*Model!$B$10</f>
        <v/>
      </c>
      <c r="K215" s="18">
        <f>K212*Model!$B$8+K214*IF(Model!$A$73&gt;0,1,0)*Model!$B$10</f>
        <v/>
      </c>
      <c r="L215" s="18">
        <f>L212*Model!$B$8+L214*IF(Model!$A$73&gt;0,1,0)*Model!$B$10</f>
        <v/>
      </c>
      <c r="N215" s="19">
        <f>SUM(C215:L215)</f>
        <v/>
      </c>
    </row>
    <row r="216">
      <c r="A216" t="inlineStr">
        <is>
          <t>Membership gross profit</t>
        </is>
      </c>
      <c r="B216" t="inlineStr">
        <is>
          <t>$M</t>
        </is>
      </c>
      <c r="C216" s="18">
        <f>C214*IF(Model!$A$73&gt;0,1,0)*Model!$B$10*Model!$B$11</f>
        <v/>
      </c>
      <c r="D216" s="18">
        <f>D214*IF(Model!$A$73&gt;0,1,0)*Model!$B$10*Model!$B$11</f>
        <v/>
      </c>
      <c r="E216" s="18">
        <f>E214*IF(Model!$A$73&gt;0,1,0)*Model!$B$10*Model!$B$11</f>
        <v/>
      </c>
      <c r="F216" s="18">
        <f>F214*IF(Model!$A$73&gt;0,1,0)*Model!$B$10*Model!$B$11</f>
        <v/>
      </c>
      <c r="G216" s="18">
        <f>G214*IF(Model!$A$73&gt;0,1,0)*Model!$B$10*Model!$B$11</f>
        <v/>
      </c>
      <c r="H216" s="18">
        <f>H214*IF(Model!$A$73&gt;0,1,0)*Model!$B$10*Model!$B$11</f>
        <v/>
      </c>
      <c r="I216" s="18">
        <f>I214*IF(Model!$A$73&gt;0,1,0)*Model!$B$10*Model!$B$11</f>
        <v/>
      </c>
      <c r="J216" s="18">
        <f>J214*IF(Model!$A$73&gt;0,1,0)*Model!$B$10*Model!$B$11</f>
        <v/>
      </c>
      <c r="K216" s="18">
        <f>K214*IF(Model!$A$73&gt;0,1,0)*Model!$B$10*Model!$B$11</f>
        <v/>
      </c>
      <c r="L216" s="18">
        <f>L214*IF(Model!$A$73&gt;0,1,0)*Model!$B$10*Model!$B$11</f>
        <v/>
      </c>
      <c r="N216" s="19">
        <f>SUM(C216:L216)</f>
        <v/>
      </c>
    </row>
    <row r="217">
      <c r="A217" t="inlineStr">
        <is>
          <t>Hardware contribution</t>
        </is>
      </c>
      <c r="B217" t="inlineStr">
        <is>
          <t>$M</t>
        </is>
      </c>
      <c r="C217" s="18">
        <f>C212*Model!$B$34</f>
        <v/>
      </c>
      <c r="D217" s="18">
        <f>D212*Model!$B$34</f>
        <v/>
      </c>
      <c r="E217" s="18">
        <f>E212*Model!$B$34</f>
        <v/>
      </c>
      <c r="F217" s="18">
        <f>F212*Model!$B$34</f>
        <v/>
      </c>
      <c r="G217" s="18">
        <f>G212*Model!$B$34</f>
        <v/>
      </c>
      <c r="H217" s="18">
        <f>H212*Model!$B$34</f>
        <v/>
      </c>
      <c r="I217" s="18">
        <f>I212*Model!$B$34</f>
        <v/>
      </c>
      <c r="J217" s="18">
        <f>J212*Model!$B$34</f>
        <v/>
      </c>
      <c r="K217" s="18">
        <f>K212*Model!$B$34</f>
        <v/>
      </c>
      <c r="L217" s="18">
        <f>L212*Model!$B$34</f>
        <v/>
      </c>
      <c r="N217" s="19">
        <f>SUM(C217:L217)</f>
        <v/>
      </c>
    </row>
    <row r="218">
      <c r="A218" t="inlineStr">
        <is>
          <t>Fixed costs (R&amp;D + G&amp;A)</t>
        </is>
      </c>
      <c r="B218" t="inlineStr">
        <is>
          <t>$M</t>
        </is>
      </c>
      <c r="C218" s="18">
        <f>Model!$B$19*(1+Model!$B$27)^MIN(C$211,Model!$B$26)</f>
        <v/>
      </c>
      <c r="D218" s="18">
        <f>Model!$B$19*(1+Model!$B$27)^MIN(D$211,Model!$B$26)</f>
        <v/>
      </c>
      <c r="E218" s="18">
        <f>Model!$B$19*(1+Model!$B$27)^MIN(E$211,Model!$B$26)</f>
        <v/>
      </c>
      <c r="F218" s="18">
        <f>Model!$B$19*(1+Model!$B$27)^MIN(F$211,Model!$B$26)</f>
        <v/>
      </c>
      <c r="G218" s="18">
        <f>Model!$B$19*(1+Model!$B$27)^MIN(G$211,Model!$B$26)</f>
        <v/>
      </c>
      <c r="H218" s="18">
        <f>Model!$B$19*(1+Model!$B$27)^MIN(H$211,Model!$B$26)</f>
        <v/>
      </c>
      <c r="I218" s="18">
        <f>Model!$B$19*(1+Model!$B$27)^MIN(I$211,Model!$B$26)</f>
        <v/>
      </c>
      <c r="J218" s="18">
        <f>Model!$B$19*(1+Model!$B$27)^MIN(J$211,Model!$B$26)</f>
        <v/>
      </c>
      <c r="K218" s="18">
        <f>Model!$B$19*(1+Model!$B$27)^MIN(K$211,Model!$B$26)</f>
        <v/>
      </c>
      <c r="L218" s="18">
        <f>Model!$B$19*(1+Model!$B$27)^MIN(L$211,Model!$B$26)</f>
        <v/>
      </c>
      <c r="N218" s="19">
        <f>SUM(C218:L218)</f>
        <v/>
      </c>
    </row>
    <row r="219">
      <c r="A219" t="inlineStr">
        <is>
          <t>Operating profit  ⚠ full-year membership credit in every cohort's acquisition year (see the year-one flag on the web page); reported nine-month income from operations was $71.2M</t>
        </is>
      </c>
      <c r="B219" t="inlineStr">
        <is>
          <t>$M</t>
        </is>
      </c>
      <c r="C219" s="18">
        <f>C216+C217-C218</f>
        <v/>
      </c>
      <c r="D219" s="18">
        <f>D216+D217-D218</f>
        <v/>
      </c>
      <c r="E219" s="18">
        <f>E216+E217-E218</f>
        <v/>
      </c>
      <c r="F219" s="18">
        <f>F216+F217-F218</f>
        <v/>
      </c>
      <c r="G219" s="18">
        <f>G216+G217-G218</f>
        <v/>
      </c>
      <c r="H219" s="18">
        <f>H216+H217-H218</f>
        <v/>
      </c>
      <c r="I219" s="18">
        <f>I216+I217-I218</f>
        <v/>
      </c>
      <c r="J219" s="18">
        <f>J216+J217-J218</f>
        <v/>
      </c>
      <c r="K219" s="18">
        <f>K216+K217-K218</f>
        <v/>
      </c>
      <c r="L219" s="18">
        <f>L216+L217-L218</f>
        <v/>
      </c>
      <c r="N219" s="19">
        <f>SUM(C219:L219)</f>
        <v/>
      </c>
    </row>
    <row r="220">
      <c r="A220" t="inlineStr">
        <is>
          <t>Operating margin</t>
        </is>
      </c>
      <c r="B220" t="inlineStr">
        <is>
          <t>fraction</t>
        </is>
      </c>
      <c r="C220" s="20">
        <f>IF(C215=0,0,C219/C215)</f>
        <v/>
      </c>
      <c r="D220" s="20">
        <f>IF(D215=0,0,D219/D215)</f>
        <v/>
      </c>
      <c r="E220" s="20">
        <f>IF(E215=0,0,E219/E215)</f>
        <v/>
      </c>
      <c r="F220" s="20">
        <f>IF(F215=0,0,F219/F215)</f>
        <v/>
      </c>
      <c r="G220" s="20">
        <f>IF(G215=0,0,G219/G215)</f>
        <v/>
      </c>
      <c r="H220" s="20">
        <f>IF(H215=0,0,H219/H215)</f>
        <v/>
      </c>
      <c r="I220" s="20">
        <f>IF(I215=0,0,I219/I215)</f>
        <v/>
      </c>
      <c r="J220" s="20">
        <f>IF(J215=0,0,J219/J215)</f>
        <v/>
      </c>
      <c r="K220" s="20">
        <f>IF(K215=0,0,K219/K215)</f>
        <v/>
      </c>
      <c r="L220" s="20">
        <f>IF(L215=0,0,L219/L215)</f>
        <v/>
      </c>
    </row>
    <row r="221">
      <c r="A221" t="inlineStr">
        <is>
          <t>Tax</t>
        </is>
      </c>
      <c r="B221" t="inlineStr">
        <is>
          <t>$M</t>
        </is>
      </c>
      <c r="C221" s="18">
        <f>MAX(0,C219)*Model!$B$23</f>
        <v/>
      </c>
      <c r="D221" s="18">
        <f>MAX(0,D219)*Model!$B$23</f>
        <v/>
      </c>
      <c r="E221" s="18">
        <f>MAX(0,E219)*Model!$B$23</f>
        <v/>
      </c>
      <c r="F221" s="18">
        <f>MAX(0,F219)*Model!$B$23</f>
        <v/>
      </c>
      <c r="G221" s="18">
        <f>MAX(0,G219)*Model!$B$23</f>
        <v/>
      </c>
      <c r="H221" s="18">
        <f>MAX(0,H219)*Model!$B$23</f>
        <v/>
      </c>
      <c r="I221" s="18">
        <f>MAX(0,I219)*Model!$B$23</f>
        <v/>
      </c>
      <c r="J221" s="18">
        <f>MAX(0,J219)*Model!$B$23</f>
        <v/>
      </c>
      <c r="K221" s="18">
        <f>MAX(0,K219)*Model!$B$23</f>
        <v/>
      </c>
      <c r="L221" s="18">
        <f>MAX(0,L219)*Model!$B$23</f>
        <v/>
      </c>
      <c r="N221" s="19">
        <f>SUM(C221:L221)</f>
        <v/>
      </c>
    </row>
    <row r="222">
      <c r="A222" t="inlineStr">
        <is>
          <t>After-tax cash flow</t>
        </is>
      </c>
      <c r="B222" t="inlineStr">
        <is>
          <t>$M</t>
        </is>
      </c>
      <c r="C222" s="18">
        <f>C219-C221</f>
        <v/>
      </c>
      <c r="D222" s="18">
        <f>D219-D221</f>
        <v/>
      </c>
      <c r="E222" s="18">
        <f>E219-E221</f>
        <v/>
      </c>
      <c r="F222" s="18">
        <f>F219-F221</f>
        <v/>
      </c>
      <c r="G222" s="18">
        <f>G219-G221</f>
        <v/>
      </c>
      <c r="H222" s="18">
        <f>H219-H221</f>
        <v/>
      </c>
      <c r="I222" s="18">
        <f>I219-I221</f>
        <v/>
      </c>
      <c r="J222" s="18">
        <f>J219-J221</f>
        <v/>
      </c>
      <c r="K222" s="18">
        <f>K219-K221</f>
        <v/>
      </c>
      <c r="L222" s="18">
        <f>L219-L221</f>
        <v/>
      </c>
      <c r="N222" s="19">
        <f>SUM(C222:L222)</f>
        <v/>
      </c>
    </row>
    <row r="223">
      <c r="A223" t="inlineStr">
        <is>
          <t>Present value</t>
        </is>
      </c>
      <c r="B223" t="inlineStr">
        <is>
          <t>$M</t>
        </is>
      </c>
      <c r="C223" s="18">
        <f>C222/(1+Model!$B$24)^C$211</f>
        <v/>
      </c>
      <c r="D223" s="18">
        <f>D222/(1+Model!$B$24)^D$211</f>
        <v/>
      </c>
      <c r="E223" s="18">
        <f>E222/(1+Model!$B$24)^E$211</f>
        <v/>
      </c>
      <c r="F223" s="18">
        <f>F222/(1+Model!$B$24)^F$211</f>
        <v/>
      </c>
      <c r="G223" s="18">
        <f>G222/(1+Model!$B$24)^G$211</f>
        <v/>
      </c>
      <c r="H223" s="18">
        <f>H222/(1+Model!$B$24)^H$211</f>
        <v/>
      </c>
      <c r="I223" s="18">
        <f>I222/(1+Model!$B$24)^I$211</f>
        <v/>
      </c>
      <c r="J223" s="18">
        <f>J222/(1+Model!$B$24)^J$211</f>
        <v/>
      </c>
      <c r="K223" s="18">
        <f>K222/(1+Model!$B$24)^K$211</f>
        <v/>
      </c>
      <c r="L223" s="18">
        <f>L222/(1+Model!$B$24)^L$211</f>
        <v/>
      </c>
      <c r="M223" s="18">
        <f>IF(ISNUMBER($B$227),$B$227,"excluded (undefined)")</f>
        <v/>
      </c>
      <c r="N223" s="19">
        <f>SUM(C223:L223)</f>
        <v/>
      </c>
    </row>
    <row r="225">
      <c r="A225" s="21" t="inlineStr">
        <is>
          <t>Sum of present values, years 1-10</t>
        </is>
      </c>
      <c r="B225" s="22">
        <f>SUM(C223:L223)</f>
        <v/>
      </c>
      <c r="C225" t="inlineStr">
        <is>
          <t>$M</t>
        </is>
      </c>
    </row>
    <row r="226">
      <c r="A226" s="21" t="inlineStr">
        <is>
          <t>Terminal value at year 10</t>
        </is>
      </c>
      <c r="B226" s="22">
        <f>IF(Model!$B$24&gt;Model!$B$28,L222*(1+Model!$B$28)/(Model!$B$24-Model!$B$28),"terminal value undefined: discount rate must exceed terminal growth")</f>
        <v/>
      </c>
      <c r="C226" t="inlineStr">
        <is>
          <t>$M</t>
        </is>
      </c>
    </row>
    <row r="227">
      <c r="A227" s="21" t="inlineStr">
        <is>
          <t>Present value of terminal value</t>
        </is>
      </c>
      <c r="B227" s="22">
        <f>IF(ISNUMBER($B$226),$B$226/(1+Model!$B$24)^L$211,"excluded (undefined)")</f>
        <v/>
      </c>
      <c r="C227" t="inlineStr">
        <is>
          <t>$M</t>
        </is>
      </c>
    </row>
    <row r="228">
      <c r="A228" s="3" t="inlineStr">
        <is>
          <t>Equity value</t>
        </is>
      </c>
      <c r="B228" s="23">
        <f>$B$225+IF(ISNUMBER($B$227),$B$227,0)-Model!$B$20</f>
        <v/>
      </c>
      <c r="C228" t="inlineStr">
        <is>
          <t>$M</t>
        </is>
      </c>
    </row>
    <row r="229">
      <c r="A229" s="21" t="inlineStr">
        <is>
          <t>Terminal value as share of equity value</t>
        </is>
      </c>
      <c r="B229" s="24">
        <f>IF(ISNUMBER($B$227),IF($B$228=0,"n/a (equity value is 0)",$B$227/$B$228),"excluded (undefined)")</f>
        <v/>
      </c>
      <c r="C229" t="inlineStr">
        <is>
          <t>fraction</t>
        </is>
      </c>
    </row>
    <row r="230">
      <c r="A230" s="21" t="inlineStr">
        <is>
          <t>Equity value / TTM revenue (price-to-sales)</t>
        </is>
      </c>
      <c r="B230" s="11">
        <f>IF(Model!$B$21=0,0,$B$228/Model!$B$21)</f>
        <v/>
      </c>
      <c r="C230" t="inlineStr">
        <is>
          <t>x</t>
        </is>
      </c>
    </row>
    <row r="233">
      <c r="A233" s="3" t="inlineStr">
        <is>
          <t>Scenario: retention = Model!A73, ring growth = Model!D70</t>
        </is>
      </c>
    </row>
    <row r="234">
      <c r="A234" s="3" t="inlineStr">
        <is>
          <t>Year</t>
        </is>
      </c>
      <c r="B234" s="3" t="inlineStr">
        <is>
          <t>Unit</t>
        </is>
      </c>
      <c r="C234" s="15" t="n">
        <v>1</v>
      </c>
      <c r="D234" s="15" t="n">
        <v>2</v>
      </c>
      <c r="E234" s="15" t="n">
        <v>3</v>
      </c>
      <c r="F234" s="15" t="n">
        <v>4</v>
      </c>
      <c r="G234" s="15" t="n">
        <v>5</v>
      </c>
      <c r="H234" s="15" t="n">
        <v>6</v>
      </c>
      <c r="I234" s="15" t="n">
        <v>7</v>
      </c>
      <c r="J234" s="15" t="n">
        <v>8</v>
      </c>
      <c r="K234" s="15" t="n">
        <v>9</v>
      </c>
      <c r="L234" s="15" t="n">
        <v>10</v>
      </c>
      <c r="M234" s="3" t="inlineStr">
        <is>
          <t>Terminal</t>
        </is>
      </c>
      <c r="N234" s="3" t="inlineStr">
        <is>
          <t>Total</t>
        </is>
      </c>
    </row>
    <row r="235">
      <c r="A235" t="inlineStr">
        <is>
          <t>Rings sold</t>
        </is>
      </c>
      <c r="B235" t="inlineStr">
        <is>
          <t>M</t>
        </is>
      </c>
      <c r="C235" s="16">
        <f>Model!$B$17*(1+Model!$D$70)^MIN(C$234,Model!$B$26)</f>
        <v/>
      </c>
      <c r="D235" s="16">
        <f>Model!$B$17*(1+Model!$D$70)^MIN(D$234,Model!$B$26)</f>
        <v/>
      </c>
      <c r="E235" s="16">
        <f>Model!$B$17*(1+Model!$D$70)^MIN(E$234,Model!$B$26)</f>
        <v/>
      </c>
      <c r="F235" s="16">
        <f>Model!$B$17*(1+Model!$D$70)^MIN(F$234,Model!$B$26)</f>
        <v/>
      </c>
      <c r="G235" s="16">
        <f>Model!$B$17*(1+Model!$D$70)^MIN(G$234,Model!$B$26)</f>
        <v/>
      </c>
      <c r="H235" s="16">
        <f>Model!$B$17*(1+Model!$D$70)^MIN(H$234,Model!$B$26)</f>
        <v/>
      </c>
      <c r="I235" s="16">
        <f>Model!$B$17*(1+Model!$D$70)^MIN(I$234,Model!$B$26)</f>
        <v/>
      </c>
      <c r="J235" s="16">
        <f>Model!$B$17*(1+Model!$D$70)^MIN(J$234,Model!$B$26)</f>
        <v/>
      </c>
      <c r="K235" s="16">
        <f>Model!$B$17*(1+Model!$D$70)^MIN(K$234,Model!$B$26)</f>
        <v/>
      </c>
      <c r="L235" s="16">
        <f>Model!$B$17*(1+Model!$D$70)^MIN(L$234,Model!$B$26)</f>
        <v/>
      </c>
      <c r="N235" s="17">
        <f>SUM(C235:L235)</f>
        <v/>
      </c>
    </row>
    <row r="236">
      <c r="A236" t="inlineStr">
        <is>
          <t>New paid members</t>
        </is>
      </c>
      <c r="B236" t="inlineStr">
        <is>
          <t>M</t>
        </is>
      </c>
      <c r="C236" s="16">
        <f>C235*(1-Model!$B$13)*Model!$B$12</f>
        <v/>
      </c>
      <c r="D236" s="16">
        <f>D235*(1-Model!$B$13)*Model!$B$12</f>
        <v/>
      </c>
      <c r="E236" s="16">
        <f>E235*(1-Model!$B$13)*Model!$B$12</f>
        <v/>
      </c>
      <c r="F236" s="16">
        <f>F235*(1-Model!$B$13)*Model!$B$12</f>
        <v/>
      </c>
      <c r="G236" s="16">
        <f>G235*(1-Model!$B$13)*Model!$B$12</f>
        <v/>
      </c>
      <c r="H236" s="16">
        <f>H235*(1-Model!$B$13)*Model!$B$12</f>
        <v/>
      </c>
      <c r="I236" s="16">
        <f>I235*(1-Model!$B$13)*Model!$B$12</f>
        <v/>
      </c>
      <c r="J236" s="16">
        <f>J235*(1-Model!$B$13)*Model!$B$12</f>
        <v/>
      </c>
      <c r="K236" s="16">
        <f>K235*(1-Model!$B$13)*Model!$B$12</f>
        <v/>
      </c>
      <c r="L236" s="16">
        <f>L235*(1-Model!$B$13)*Model!$B$12</f>
        <v/>
      </c>
      <c r="N236" s="17">
        <f>SUM(C236:L236)</f>
        <v/>
      </c>
    </row>
    <row r="237">
      <c r="A237" t="inlineStr">
        <is>
          <t>Paid members</t>
        </is>
      </c>
      <c r="B237" t="inlineStr">
        <is>
          <t>M</t>
        </is>
      </c>
      <c r="C237" s="16">
        <f>Model!$B$18*Model!$A$73+C236</f>
        <v/>
      </c>
      <c r="D237" s="16">
        <f>C237*Model!$A$73+D236</f>
        <v/>
      </c>
      <c r="E237" s="16">
        <f>D237*Model!$A$73+E236</f>
        <v/>
      </c>
      <c r="F237" s="16">
        <f>E237*Model!$A$73+F236</f>
        <v/>
      </c>
      <c r="G237" s="16">
        <f>F237*Model!$A$73+G236</f>
        <v/>
      </c>
      <c r="H237" s="16">
        <f>G237*Model!$A$73+H236</f>
        <v/>
      </c>
      <c r="I237" s="16">
        <f>H237*Model!$A$73+I236</f>
        <v/>
      </c>
      <c r="J237" s="16">
        <f>I237*Model!$A$73+J236</f>
        <v/>
      </c>
      <c r="K237" s="16">
        <f>J237*Model!$A$73+K236</f>
        <v/>
      </c>
      <c r="L237" s="16">
        <f>K237*Model!$A$73+L236</f>
        <v/>
      </c>
    </row>
    <row r="238">
      <c r="A238" t="inlineStr">
        <is>
          <t>Revenue (hardware + membership)</t>
        </is>
      </c>
      <c r="B238" t="inlineStr">
        <is>
          <t>$M</t>
        </is>
      </c>
      <c r="C238" s="18">
        <f>C235*Model!$B$8+C237*IF(Model!$A$73&gt;0,1,0)*Model!$B$10</f>
        <v/>
      </c>
      <c r="D238" s="18">
        <f>D235*Model!$B$8+D237*IF(Model!$A$73&gt;0,1,0)*Model!$B$10</f>
        <v/>
      </c>
      <c r="E238" s="18">
        <f>E235*Model!$B$8+E237*IF(Model!$A$73&gt;0,1,0)*Model!$B$10</f>
        <v/>
      </c>
      <c r="F238" s="18">
        <f>F235*Model!$B$8+F237*IF(Model!$A$73&gt;0,1,0)*Model!$B$10</f>
        <v/>
      </c>
      <c r="G238" s="18">
        <f>G235*Model!$B$8+G237*IF(Model!$A$73&gt;0,1,0)*Model!$B$10</f>
        <v/>
      </c>
      <c r="H238" s="18">
        <f>H235*Model!$B$8+H237*IF(Model!$A$73&gt;0,1,0)*Model!$B$10</f>
        <v/>
      </c>
      <c r="I238" s="18">
        <f>I235*Model!$B$8+I237*IF(Model!$A$73&gt;0,1,0)*Model!$B$10</f>
        <v/>
      </c>
      <c r="J238" s="18">
        <f>J235*Model!$B$8+J237*IF(Model!$A$73&gt;0,1,0)*Model!$B$10</f>
        <v/>
      </c>
      <c r="K238" s="18">
        <f>K235*Model!$B$8+K237*IF(Model!$A$73&gt;0,1,0)*Model!$B$10</f>
        <v/>
      </c>
      <c r="L238" s="18">
        <f>L235*Model!$B$8+L237*IF(Model!$A$73&gt;0,1,0)*Model!$B$10</f>
        <v/>
      </c>
      <c r="N238" s="19">
        <f>SUM(C238:L238)</f>
        <v/>
      </c>
    </row>
    <row r="239">
      <c r="A239" t="inlineStr">
        <is>
          <t>Membership gross profit</t>
        </is>
      </c>
      <c r="B239" t="inlineStr">
        <is>
          <t>$M</t>
        </is>
      </c>
      <c r="C239" s="18">
        <f>C237*IF(Model!$A$73&gt;0,1,0)*Model!$B$10*Model!$B$11</f>
        <v/>
      </c>
      <c r="D239" s="18">
        <f>D237*IF(Model!$A$73&gt;0,1,0)*Model!$B$10*Model!$B$11</f>
        <v/>
      </c>
      <c r="E239" s="18">
        <f>E237*IF(Model!$A$73&gt;0,1,0)*Model!$B$10*Model!$B$11</f>
        <v/>
      </c>
      <c r="F239" s="18">
        <f>F237*IF(Model!$A$73&gt;0,1,0)*Model!$B$10*Model!$B$11</f>
        <v/>
      </c>
      <c r="G239" s="18">
        <f>G237*IF(Model!$A$73&gt;0,1,0)*Model!$B$10*Model!$B$11</f>
        <v/>
      </c>
      <c r="H239" s="18">
        <f>H237*IF(Model!$A$73&gt;0,1,0)*Model!$B$10*Model!$B$11</f>
        <v/>
      </c>
      <c r="I239" s="18">
        <f>I237*IF(Model!$A$73&gt;0,1,0)*Model!$B$10*Model!$B$11</f>
        <v/>
      </c>
      <c r="J239" s="18">
        <f>J237*IF(Model!$A$73&gt;0,1,0)*Model!$B$10*Model!$B$11</f>
        <v/>
      </c>
      <c r="K239" s="18">
        <f>K237*IF(Model!$A$73&gt;0,1,0)*Model!$B$10*Model!$B$11</f>
        <v/>
      </c>
      <c r="L239" s="18">
        <f>L237*IF(Model!$A$73&gt;0,1,0)*Model!$B$10*Model!$B$11</f>
        <v/>
      </c>
      <c r="N239" s="19">
        <f>SUM(C239:L239)</f>
        <v/>
      </c>
    </row>
    <row r="240">
      <c r="A240" t="inlineStr">
        <is>
          <t>Hardware contribution</t>
        </is>
      </c>
      <c r="B240" t="inlineStr">
        <is>
          <t>$M</t>
        </is>
      </c>
      <c r="C240" s="18">
        <f>C235*Model!$B$34</f>
        <v/>
      </c>
      <c r="D240" s="18">
        <f>D235*Model!$B$34</f>
        <v/>
      </c>
      <c r="E240" s="18">
        <f>E235*Model!$B$34</f>
        <v/>
      </c>
      <c r="F240" s="18">
        <f>F235*Model!$B$34</f>
        <v/>
      </c>
      <c r="G240" s="18">
        <f>G235*Model!$B$34</f>
        <v/>
      </c>
      <c r="H240" s="18">
        <f>H235*Model!$B$34</f>
        <v/>
      </c>
      <c r="I240" s="18">
        <f>I235*Model!$B$34</f>
        <v/>
      </c>
      <c r="J240" s="18">
        <f>J235*Model!$B$34</f>
        <v/>
      </c>
      <c r="K240" s="18">
        <f>K235*Model!$B$34</f>
        <v/>
      </c>
      <c r="L240" s="18">
        <f>L235*Model!$B$34</f>
        <v/>
      </c>
      <c r="N240" s="19">
        <f>SUM(C240:L240)</f>
        <v/>
      </c>
    </row>
    <row r="241">
      <c r="A241" t="inlineStr">
        <is>
          <t>Fixed costs (R&amp;D + G&amp;A)</t>
        </is>
      </c>
      <c r="B241" t="inlineStr">
        <is>
          <t>$M</t>
        </is>
      </c>
      <c r="C241" s="18">
        <f>Model!$B$19*(1+Model!$B$27)^MIN(C$234,Model!$B$26)</f>
        <v/>
      </c>
      <c r="D241" s="18">
        <f>Model!$B$19*(1+Model!$B$27)^MIN(D$234,Model!$B$26)</f>
        <v/>
      </c>
      <c r="E241" s="18">
        <f>Model!$B$19*(1+Model!$B$27)^MIN(E$234,Model!$B$26)</f>
        <v/>
      </c>
      <c r="F241" s="18">
        <f>Model!$B$19*(1+Model!$B$27)^MIN(F$234,Model!$B$26)</f>
        <v/>
      </c>
      <c r="G241" s="18">
        <f>Model!$B$19*(1+Model!$B$27)^MIN(G$234,Model!$B$26)</f>
        <v/>
      </c>
      <c r="H241" s="18">
        <f>Model!$B$19*(1+Model!$B$27)^MIN(H$234,Model!$B$26)</f>
        <v/>
      </c>
      <c r="I241" s="18">
        <f>Model!$B$19*(1+Model!$B$27)^MIN(I$234,Model!$B$26)</f>
        <v/>
      </c>
      <c r="J241" s="18">
        <f>Model!$B$19*(1+Model!$B$27)^MIN(J$234,Model!$B$26)</f>
        <v/>
      </c>
      <c r="K241" s="18">
        <f>Model!$B$19*(1+Model!$B$27)^MIN(K$234,Model!$B$26)</f>
        <v/>
      </c>
      <c r="L241" s="18">
        <f>Model!$B$19*(1+Model!$B$27)^MIN(L$234,Model!$B$26)</f>
        <v/>
      </c>
      <c r="N241" s="19">
        <f>SUM(C241:L241)</f>
        <v/>
      </c>
    </row>
    <row r="242">
      <c r="A242" t="inlineStr">
        <is>
          <t>Operating profit  ⚠ full-year membership credit in every cohort's acquisition year (see the year-one flag on the web page); reported nine-month income from operations was $71.2M</t>
        </is>
      </c>
      <c r="B242" t="inlineStr">
        <is>
          <t>$M</t>
        </is>
      </c>
      <c r="C242" s="18">
        <f>C239+C240-C241</f>
        <v/>
      </c>
      <c r="D242" s="18">
        <f>D239+D240-D241</f>
        <v/>
      </c>
      <c r="E242" s="18">
        <f>E239+E240-E241</f>
        <v/>
      </c>
      <c r="F242" s="18">
        <f>F239+F240-F241</f>
        <v/>
      </c>
      <c r="G242" s="18">
        <f>G239+G240-G241</f>
        <v/>
      </c>
      <c r="H242" s="18">
        <f>H239+H240-H241</f>
        <v/>
      </c>
      <c r="I242" s="18">
        <f>I239+I240-I241</f>
        <v/>
      </c>
      <c r="J242" s="18">
        <f>J239+J240-J241</f>
        <v/>
      </c>
      <c r="K242" s="18">
        <f>K239+K240-K241</f>
        <v/>
      </c>
      <c r="L242" s="18">
        <f>L239+L240-L241</f>
        <v/>
      </c>
      <c r="N242" s="19">
        <f>SUM(C242:L242)</f>
        <v/>
      </c>
    </row>
    <row r="243">
      <c r="A243" t="inlineStr">
        <is>
          <t>Operating margin</t>
        </is>
      </c>
      <c r="B243" t="inlineStr">
        <is>
          <t>fraction</t>
        </is>
      </c>
      <c r="C243" s="20">
        <f>IF(C238=0,0,C242/C238)</f>
        <v/>
      </c>
      <c r="D243" s="20">
        <f>IF(D238=0,0,D242/D238)</f>
        <v/>
      </c>
      <c r="E243" s="20">
        <f>IF(E238=0,0,E242/E238)</f>
        <v/>
      </c>
      <c r="F243" s="20">
        <f>IF(F238=0,0,F242/F238)</f>
        <v/>
      </c>
      <c r="G243" s="20">
        <f>IF(G238=0,0,G242/G238)</f>
        <v/>
      </c>
      <c r="H243" s="20">
        <f>IF(H238=0,0,H242/H238)</f>
        <v/>
      </c>
      <c r="I243" s="20">
        <f>IF(I238=0,0,I242/I238)</f>
        <v/>
      </c>
      <c r="J243" s="20">
        <f>IF(J238=0,0,J242/J238)</f>
        <v/>
      </c>
      <c r="K243" s="20">
        <f>IF(K238=0,0,K242/K238)</f>
        <v/>
      </c>
      <c r="L243" s="20">
        <f>IF(L238=0,0,L242/L238)</f>
        <v/>
      </c>
    </row>
    <row r="244">
      <c r="A244" t="inlineStr">
        <is>
          <t>Tax</t>
        </is>
      </c>
      <c r="B244" t="inlineStr">
        <is>
          <t>$M</t>
        </is>
      </c>
      <c r="C244" s="18">
        <f>MAX(0,C242)*Model!$B$23</f>
        <v/>
      </c>
      <c r="D244" s="18">
        <f>MAX(0,D242)*Model!$B$23</f>
        <v/>
      </c>
      <c r="E244" s="18">
        <f>MAX(0,E242)*Model!$B$23</f>
        <v/>
      </c>
      <c r="F244" s="18">
        <f>MAX(0,F242)*Model!$B$23</f>
        <v/>
      </c>
      <c r="G244" s="18">
        <f>MAX(0,G242)*Model!$B$23</f>
        <v/>
      </c>
      <c r="H244" s="18">
        <f>MAX(0,H242)*Model!$B$23</f>
        <v/>
      </c>
      <c r="I244" s="18">
        <f>MAX(0,I242)*Model!$B$23</f>
        <v/>
      </c>
      <c r="J244" s="18">
        <f>MAX(0,J242)*Model!$B$23</f>
        <v/>
      </c>
      <c r="K244" s="18">
        <f>MAX(0,K242)*Model!$B$23</f>
        <v/>
      </c>
      <c r="L244" s="18">
        <f>MAX(0,L242)*Model!$B$23</f>
        <v/>
      </c>
      <c r="N244" s="19">
        <f>SUM(C244:L244)</f>
        <v/>
      </c>
    </row>
    <row r="245">
      <c r="A245" t="inlineStr">
        <is>
          <t>After-tax cash flow</t>
        </is>
      </c>
      <c r="B245" t="inlineStr">
        <is>
          <t>$M</t>
        </is>
      </c>
      <c r="C245" s="18">
        <f>C242-C244</f>
        <v/>
      </c>
      <c r="D245" s="18">
        <f>D242-D244</f>
        <v/>
      </c>
      <c r="E245" s="18">
        <f>E242-E244</f>
        <v/>
      </c>
      <c r="F245" s="18">
        <f>F242-F244</f>
        <v/>
      </c>
      <c r="G245" s="18">
        <f>G242-G244</f>
        <v/>
      </c>
      <c r="H245" s="18">
        <f>H242-H244</f>
        <v/>
      </c>
      <c r="I245" s="18">
        <f>I242-I244</f>
        <v/>
      </c>
      <c r="J245" s="18">
        <f>J242-J244</f>
        <v/>
      </c>
      <c r="K245" s="18">
        <f>K242-K244</f>
        <v/>
      </c>
      <c r="L245" s="18">
        <f>L242-L244</f>
        <v/>
      </c>
      <c r="N245" s="19">
        <f>SUM(C245:L245)</f>
        <v/>
      </c>
    </row>
    <row r="246">
      <c r="A246" t="inlineStr">
        <is>
          <t>Present value</t>
        </is>
      </c>
      <c r="B246" t="inlineStr">
        <is>
          <t>$M</t>
        </is>
      </c>
      <c r="C246" s="18">
        <f>C245/(1+Model!$B$24)^C$234</f>
        <v/>
      </c>
      <c r="D246" s="18">
        <f>D245/(1+Model!$B$24)^D$234</f>
        <v/>
      </c>
      <c r="E246" s="18">
        <f>E245/(1+Model!$B$24)^E$234</f>
        <v/>
      </c>
      <c r="F246" s="18">
        <f>F245/(1+Model!$B$24)^F$234</f>
        <v/>
      </c>
      <c r="G246" s="18">
        <f>G245/(1+Model!$B$24)^G$234</f>
        <v/>
      </c>
      <c r="H246" s="18">
        <f>H245/(1+Model!$B$24)^H$234</f>
        <v/>
      </c>
      <c r="I246" s="18">
        <f>I245/(1+Model!$B$24)^I$234</f>
        <v/>
      </c>
      <c r="J246" s="18">
        <f>J245/(1+Model!$B$24)^J$234</f>
        <v/>
      </c>
      <c r="K246" s="18">
        <f>K245/(1+Model!$B$24)^K$234</f>
        <v/>
      </c>
      <c r="L246" s="18">
        <f>L245/(1+Model!$B$24)^L$234</f>
        <v/>
      </c>
      <c r="M246" s="18">
        <f>IF(ISNUMBER($B$250),$B$250,"excluded (undefined)")</f>
        <v/>
      </c>
      <c r="N246" s="19">
        <f>SUM(C246:L246)</f>
        <v/>
      </c>
    </row>
    <row r="248">
      <c r="A248" s="21" t="inlineStr">
        <is>
          <t>Sum of present values, years 1-10</t>
        </is>
      </c>
      <c r="B248" s="22">
        <f>SUM(C246:L246)</f>
        <v/>
      </c>
      <c r="C248" t="inlineStr">
        <is>
          <t>$M</t>
        </is>
      </c>
    </row>
    <row r="249">
      <c r="A249" s="21" t="inlineStr">
        <is>
          <t>Terminal value at year 10</t>
        </is>
      </c>
      <c r="B249" s="22">
        <f>IF(Model!$B$24&gt;Model!$B$28,L245*(1+Model!$B$28)/(Model!$B$24-Model!$B$28),"terminal value undefined: discount rate must exceed terminal growth")</f>
        <v/>
      </c>
      <c r="C249" t="inlineStr">
        <is>
          <t>$M</t>
        </is>
      </c>
    </row>
    <row r="250">
      <c r="A250" s="21" t="inlineStr">
        <is>
          <t>Present value of terminal value</t>
        </is>
      </c>
      <c r="B250" s="22">
        <f>IF(ISNUMBER($B$249),$B$249/(1+Model!$B$24)^L$234,"excluded (undefined)")</f>
        <v/>
      </c>
      <c r="C250" t="inlineStr">
        <is>
          <t>$M</t>
        </is>
      </c>
    </row>
    <row r="251">
      <c r="A251" s="3" t="inlineStr">
        <is>
          <t>Equity value</t>
        </is>
      </c>
      <c r="B251" s="23">
        <f>$B$248+IF(ISNUMBER($B$250),$B$250,0)-Model!$B$20</f>
        <v/>
      </c>
      <c r="C251" t="inlineStr">
        <is>
          <t>$M</t>
        </is>
      </c>
    </row>
    <row r="252">
      <c r="A252" s="21" t="inlineStr">
        <is>
          <t>Terminal value as share of equity value</t>
        </is>
      </c>
      <c r="B252" s="24">
        <f>IF(ISNUMBER($B$250),IF($B$251=0,"n/a (equity value is 0)",$B$250/$B$251),"excluded (undefined)")</f>
        <v/>
      </c>
      <c r="C252" t="inlineStr">
        <is>
          <t>fraction</t>
        </is>
      </c>
    </row>
    <row r="253">
      <c r="A253" s="21" t="inlineStr">
        <is>
          <t>Equity value / TTM revenue (price-to-sales)</t>
        </is>
      </c>
      <c r="B253" s="11">
        <f>IF(Model!$B$21=0,0,$B$251/Model!$B$21)</f>
        <v/>
      </c>
      <c r="C253" t="inlineStr">
        <is>
          <t>x</t>
        </is>
      </c>
    </row>
    <row r="256">
      <c r="A256" s="3" t="inlineStr">
        <is>
          <t>Scenario: retention = Model!A73, ring growth = Model!E70</t>
        </is>
      </c>
    </row>
    <row r="257">
      <c r="A257" s="3" t="inlineStr">
        <is>
          <t>Year</t>
        </is>
      </c>
      <c r="B257" s="3" t="inlineStr">
        <is>
          <t>Unit</t>
        </is>
      </c>
      <c r="C257" s="15" t="n">
        <v>1</v>
      </c>
      <c r="D257" s="15" t="n">
        <v>2</v>
      </c>
      <c r="E257" s="15" t="n">
        <v>3</v>
      </c>
      <c r="F257" s="15" t="n">
        <v>4</v>
      </c>
      <c r="G257" s="15" t="n">
        <v>5</v>
      </c>
      <c r="H257" s="15" t="n">
        <v>6</v>
      </c>
      <c r="I257" s="15" t="n">
        <v>7</v>
      </c>
      <c r="J257" s="15" t="n">
        <v>8</v>
      </c>
      <c r="K257" s="15" t="n">
        <v>9</v>
      </c>
      <c r="L257" s="15" t="n">
        <v>10</v>
      </c>
      <c r="M257" s="3" t="inlineStr">
        <is>
          <t>Terminal</t>
        </is>
      </c>
      <c r="N257" s="3" t="inlineStr">
        <is>
          <t>Total</t>
        </is>
      </c>
    </row>
    <row r="258">
      <c r="A258" t="inlineStr">
        <is>
          <t>Rings sold</t>
        </is>
      </c>
      <c r="B258" t="inlineStr">
        <is>
          <t>M</t>
        </is>
      </c>
      <c r="C258" s="16">
        <f>Model!$B$17*(1+Model!$E$70)^MIN(C$257,Model!$B$26)</f>
        <v/>
      </c>
      <c r="D258" s="16">
        <f>Model!$B$17*(1+Model!$E$70)^MIN(D$257,Model!$B$26)</f>
        <v/>
      </c>
      <c r="E258" s="16">
        <f>Model!$B$17*(1+Model!$E$70)^MIN(E$257,Model!$B$26)</f>
        <v/>
      </c>
      <c r="F258" s="16">
        <f>Model!$B$17*(1+Model!$E$70)^MIN(F$257,Model!$B$26)</f>
        <v/>
      </c>
      <c r="G258" s="16">
        <f>Model!$B$17*(1+Model!$E$70)^MIN(G$257,Model!$B$26)</f>
        <v/>
      </c>
      <c r="H258" s="16">
        <f>Model!$B$17*(1+Model!$E$70)^MIN(H$257,Model!$B$26)</f>
        <v/>
      </c>
      <c r="I258" s="16">
        <f>Model!$B$17*(1+Model!$E$70)^MIN(I$257,Model!$B$26)</f>
        <v/>
      </c>
      <c r="J258" s="16">
        <f>Model!$B$17*(1+Model!$E$70)^MIN(J$257,Model!$B$26)</f>
        <v/>
      </c>
      <c r="K258" s="16">
        <f>Model!$B$17*(1+Model!$E$70)^MIN(K$257,Model!$B$26)</f>
        <v/>
      </c>
      <c r="L258" s="16">
        <f>Model!$B$17*(1+Model!$E$70)^MIN(L$257,Model!$B$26)</f>
        <v/>
      </c>
      <c r="N258" s="17">
        <f>SUM(C258:L258)</f>
        <v/>
      </c>
    </row>
    <row r="259">
      <c r="A259" t="inlineStr">
        <is>
          <t>New paid members</t>
        </is>
      </c>
      <c r="B259" t="inlineStr">
        <is>
          <t>M</t>
        </is>
      </c>
      <c r="C259" s="16">
        <f>C258*(1-Model!$B$13)*Model!$B$12</f>
        <v/>
      </c>
      <c r="D259" s="16">
        <f>D258*(1-Model!$B$13)*Model!$B$12</f>
        <v/>
      </c>
      <c r="E259" s="16">
        <f>E258*(1-Model!$B$13)*Model!$B$12</f>
        <v/>
      </c>
      <c r="F259" s="16">
        <f>F258*(1-Model!$B$13)*Model!$B$12</f>
        <v/>
      </c>
      <c r="G259" s="16">
        <f>G258*(1-Model!$B$13)*Model!$B$12</f>
        <v/>
      </c>
      <c r="H259" s="16">
        <f>H258*(1-Model!$B$13)*Model!$B$12</f>
        <v/>
      </c>
      <c r="I259" s="16">
        <f>I258*(1-Model!$B$13)*Model!$B$12</f>
        <v/>
      </c>
      <c r="J259" s="16">
        <f>J258*(1-Model!$B$13)*Model!$B$12</f>
        <v/>
      </c>
      <c r="K259" s="16">
        <f>K258*(1-Model!$B$13)*Model!$B$12</f>
        <v/>
      </c>
      <c r="L259" s="16">
        <f>L258*(1-Model!$B$13)*Model!$B$12</f>
        <v/>
      </c>
      <c r="N259" s="17">
        <f>SUM(C259:L259)</f>
        <v/>
      </c>
    </row>
    <row r="260">
      <c r="A260" t="inlineStr">
        <is>
          <t>Paid members</t>
        </is>
      </c>
      <c r="B260" t="inlineStr">
        <is>
          <t>M</t>
        </is>
      </c>
      <c r="C260" s="16">
        <f>Model!$B$18*Model!$A$73+C259</f>
        <v/>
      </c>
      <c r="D260" s="16">
        <f>C260*Model!$A$73+D259</f>
        <v/>
      </c>
      <c r="E260" s="16">
        <f>D260*Model!$A$73+E259</f>
        <v/>
      </c>
      <c r="F260" s="16">
        <f>E260*Model!$A$73+F259</f>
        <v/>
      </c>
      <c r="G260" s="16">
        <f>F260*Model!$A$73+G259</f>
        <v/>
      </c>
      <c r="H260" s="16">
        <f>G260*Model!$A$73+H259</f>
        <v/>
      </c>
      <c r="I260" s="16">
        <f>H260*Model!$A$73+I259</f>
        <v/>
      </c>
      <c r="J260" s="16">
        <f>I260*Model!$A$73+J259</f>
        <v/>
      </c>
      <c r="K260" s="16">
        <f>J260*Model!$A$73+K259</f>
        <v/>
      </c>
      <c r="L260" s="16">
        <f>K260*Model!$A$73+L259</f>
        <v/>
      </c>
    </row>
    <row r="261">
      <c r="A261" t="inlineStr">
        <is>
          <t>Revenue (hardware + membership)</t>
        </is>
      </c>
      <c r="B261" t="inlineStr">
        <is>
          <t>$M</t>
        </is>
      </c>
      <c r="C261" s="18">
        <f>C258*Model!$B$8+C260*IF(Model!$A$73&gt;0,1,0)*Model!$B$10</f>
        <v/>
      </c>
      <c r="D261" s="18">
        <f>D258*Model!$B$8+D260*IF(Model!$A$73&gt;0,1,0)*Model!$B$10</f>
        <v/>
      </c>
      <c r="E261" s="18">
        <f>E258*Model!$B$8+E260*IF(Model!$A$73&gt;0,1,0)*Model!$B$10</f>
        <v/>
      </c>
      <c r="F261" s="18">
        <f>F258*Model!$B$8+F260*IF(Model!$A$73&gt;0,1,0)*Model!$B$10</f>
        <v/>
      </c>
      <c r="G261" s="18">
        <f>G258*Model!$B$8+G260*IF(Model!$A$73&gt;0,1,0)*Model!$B$10</f>
        <v/>
      </c>
      <c r="H261" s="18">
        <f>H258*Model!$B$8+H260*IF(Model!$A$73&gt;0,1,0)*Model!$B$10</f>
        <v/>
      </c>
      <c r="I261" s="18">
        <f>I258*Model!$B$8+I260*IF(Model!$A$73&gt;0,1,0)*Model!$B$10</f>
        <v/>
      </c>
      <c r="J261" s="18">
        <f>J258*Model!$B$8+J260*IF(Model!$A$73&gt;0,1,0)*Model!$B$10</f>
        <v/>
      </c>
      <c r="K261" s="18">
        <f>K258*Model!$B$8+K260*IF(Model!$A$73&gt;0,1,0)*Model!$B$10</f>
        <v/>
      </c>
      <c r="L261" s="18">
        <f>L258*Model!$B$8+L260*IF(Model!$A$73&gt;0,1,0)*Model!$B$10</f>
        <v/>
      </c>
      <c r="N261" s="19">
        <f>SUM(C261:L261)</f>
        <v/>
      </c>
    </row>
    <row r="262">
      <c r="A262" t="inlineStr">
        <is>
          <t>Membership gross profit</t>
        </is>
      </c>
      <c r="B262" t="inlineStr">
        <is>
          <t>$M</t>
        </is>
      </c>
      <c r="C262" s="18">
        <f>C260*IF(Model!$A$73&gt;0,1,0)*Model!$B$10*Model!$B$11</f>
        <v/>
      </c>
      <c r="D262" s="18">
        <f>D260*IF(Model!$A$73&gt;0,1,0)*Model!$B$10*Model!$B$11</f>
        <v/>
      </c>
      <c r="E262" s="18">
        <f>E260*IF(Model!$A$73&gt;0,1,0)*Model!$B$10*Model!$B$11</f>
        <v/>
      </c>
      <c r="F262" s="18">
        <f>F260*IF(Model!$A$73&gt;0,1,0)*Model!$B$10*Model!$B$11</f>
        <v/>
      </c>
      <c r="G262" s="18">
        <f>G260*IF(Model!$A$73&gt;0,1,0)*Model!$B$10*Model!$B$11</f>
        <v/>
      </c>
      <c r="H262" s="18">
        <f>H260*IF(Model!$A$73&gt;0,1,0)*Model!$B$10*Model!$B$11</f>
        <v/>
      </c>
      <c r="I262" s="18">
        <f>I260*IF(Model!$A$73&gt;0,1,0)*Model!$B$10*Model!$B$11</f>
        <v/>
      </c>
      <c r="J262" s="18">
        <f>J260*IF(Model!$A$73&gt;0,1,0)*Model!$B$10*Model!$B$11</f>
        <v/>
      </c>
      <c r="K262" s="18">
        <f>K260*IF(Model!$A$73&gt;0,1,0)*Model!$B$10*Model!$B$11</f>
        <v/>
      </c>
      <c r="L262" s="18">
        <f>L260*IF(Model!$A$73&gt;0,1,0)*Model!$B$10*Model!$B$11</f>
        <v/>
      </c>
      <c r="N262" s="19">
        <f>SUM(C262:L262)</f>
        <v/>
      </c>
    </row>
    <row r="263">
      <c r="A263" t="inlineStr">
        <is>
          <t>Hardware contribution</t>
        </is>
      </c>
      <c r="B263" t="inlineStr">
        <is>
          <t>$M</t>
        </is>
      </c>
      <c r="C263" s="18">
        <f>C258*Model!$B$34</f>
        <v/>
      </c>
      <c r="D263" s="18">
        <f>D258*Model!$B$34</f>
        <v/>
      </c>
      <c r="E263" s="18">
        <f>E258*Model!$B$34</f>
        <v/>
      </c>
      <c r="F263" s="18">
        <f>F258*Model!$B$34</f>
        <v/>
      </c>
      <c r="G263" s="18">
        <f>G258*Model!$B$34</f>
        <v/>
      </c>
      <c r="H263" s="18">
        <f>H258*Model!$B$34</f>
        <v/>
      </c>
      <c r="I263" s="18">
        <f>I258*Model!$B$34</f>
        <v/>
      </c>
      <c r="J263" s="18">
        <f>J258*Model!$B$34</f>
        <v/>
      </c>
      <c r="K263" s="18">
        <f>K258*Model!$B$34</f>
        <v/>
      </c>
      <c r="L263" s="18">
        <f>L258*Model!$B$34</f>
        <v/>
      </c>
      <c r="N263" s="19">
        <f>SUM(C263:L263)</f>
        <v/>
      </c>
    </row>
    <row r="264">
      <c r="A264" t="inlineStr">
        <is>
          <t>Fixed costs (R&amp;D + G&amp;A)</t>
        </is>
      </c>
      <c r="B264" t="inlineStr">
        <is>
          <t>$M</t>
        </is>
      </c>
      <c r="C264" s="18">
        <f>Model!$B$19*(1+Model!$B$27)^MIN(C$257,Model!$B$26)</f>
        <v/>
      </c>
      <c r="D264" s="18">
        <f>Model!$B$19*(1+Model!$B$27)^MIN(D$257,Model!$B$26)</f>
        <v/>
      </c>
      <c r="E264" s="18">
        <f>Model!$B$19*(1+Model!$B$27)^MIN(E$257,Model!$B$26)</f>
        <v/>
      </c>
      <c r="F264" s="18">
        <f>Model!$B$19*(1+Model!$B$27)^MIN(F$257,Model!$B$26)</f>
        <v/>
      </c>
      <c r="G264" s="18">
        <f>Model!$B$19*(1+Model!$B$27)^MIN(G$257,Model!$B$26)</f>
        <v/>
      </c>
      <c r="H264" s="18">
        <f>Model!$B$19*(1+Model!$B$27)^MIN(H$257,Model!$B$26)</f>
        <v/>
      </c>
      <c r="I264" s="18">
        <f>Model!$B$19*(1+Model!$B$27)^MIN(I$257,Model!$B$26)</f>
        <v/>
      </c>
      <c r="J264" s="18">
        <f>Model!$B$19*(1+Model!$B$27)^MIN(J$257,Model!$B$26)</f>
        <v/>
      </c>
      <c r="K264" s="18">
        <f>Model!$B$19*(1+Model!$B$27)^MIN(K$257,Model!$B$26)</f>
        <v/>
      </c>
      <c r="L264" s="18">
        <f>Model!$B$19*(1+Model!$B$27)^MIN(L$257,Model!$B$26)</f>
        <v/>
      </c>
      <c r="N264" s="19">
        <f>SUM(C264:L264)</f>
        <v/>
      </c>
    </row>
    <row r="265">
      <c r="A265" t="inlineStr">
        <is>
          <t>Operating profit  ⚠ full-year membership credit in every cohort's acquisition year (see the year-one flag on the web page); reported nine-month income from operations was $71.2M</t>
        </is>
      </c>
      <c r="B265" t="inlineStr">
        <is>
          <t>$M</t>
        </is>
      </c>
      <c r="C265" s="18">
        <f>C262+C263-C264</f>
        <v/>
      </c>
      <c r="D265" s="18">
        <f>D262+D263-D264</f>
        <v/>
      </c>
      <c r="E265" s="18">
        <f>E262+E263-E264</f>
        <v/>
      </c>
      <c r="F265" s="18">
        <f>F262+F263-F264</f>
        <v/>
      </c>
      <c r="G265" s="18">
        <f>G262+G263-G264</f>
        <v/>
      </c>
      <c r="H265" s="18">
        <f>H262+H263-H264</f>
        <v/>
      </c>
      <c r="I265" s="18">
        <f>I262+I263-I264</f>
        <v/>
      </c>
      <c r="J265" s="18">
        <f>J262+J263-J264</f>
        <v/>
      </c>
      <c r="K265" s="18">
        <f>K262+K263-K264</f>
        <v/>
      </c>
      <c r="L265" s="18">
        <f>L262+L263-L264</f>
        <v/>
      </c>
      <c r="N265" s="19">
        <f>SUM(C265:L265)</f>
        <v/>
      </c>
    </row>
    <row r="266">
      <c r="A266" t="inlineStr">
        <is>
          <t>Operating margin</t>
        </is>
      </c>
      <c r="B266" t="inlineStr">
        <is>
          <t>fraction</t>
        </is>
      </c>
      <c r="C266" s="20">
        <f>IF(C261=0,0,C265/C261)</f>
        <v/>
      </c>
      <c r="D266" s="20">
        <f>IF(D261=0,0,D265/D261)</f>
        <v/>
      </c>
      <c r="E266" s="20">
        <f>IF(E261=0,0,E265/E261)</f>
        <v/>
      </c>
      <c r="F266" s="20">
        <f>IF(F261=0,0,F265/F261)</f>
        <v/>
      </c>
      <c r="G266" s="20">
        <f>IF(G261=0,0,G265/G261)</f>
        <v/>
      </c>
      <c r="H266" s="20">
        <f>IF(H261=0,0,H265/H261)</f>
        <v/>
      </c>
      <c r="I266" s="20">
        <f>IF(I261=0,0,I265/I261)</f>
        <v/>
      </c>
      <c r="J266" s="20">
        <f>IF(J261=0,0,J265/J261)</f>
        <v/>
      </c>
      <c r="K266" s="20">
        <f>IF(K261=0,0,K265/K261)</f>
        <v/>
      </c>
      <c r="L266" s="20">
        <f>IF(L261=0,0,L265/L261)</f>
        <v/>
      </c>
    </row>
    <row r="267">
      <c r="A267" t="inlineStr">
        <is>
          <t>Tax</t>
        </is>
      </c>
      <c r="B267" t="inlineStr">
        <is>
          <t>$M</t>
        </is>
      </c>
      <c r="C267" s="18">
        <f>MAX(0,C265)*Model!$B$23</f>
        <v/>
      </c>
      <c r="D267" s="18">
        <f>MAX(0,D265)*Model!$B$23</f>
        <v/>
      </c>
      <c r="E267" s="18">
        <f>MAX(0,E265)*Model!$B$23</f>
        <v/>
      </c>
      <c r="F267" s="18">
        <f>MAX(0,F265)*Model!$B$23</f>
        <v/>
      </c>
      <c r="G267" s="18">
        <f>MAX(0,G265)*Model!$B$23</f>
        <v/>
      </c>
      <c r="H267" s="18">
        <f>MAX(0,H265)*Model!$B$23</f>
        <v/>
      </c>
      <c r="I267" s="18">
        <f>MAX(0,I265)*Model!$B$23</f>
        <v/>
      </c>
      <c r="J267" s="18">
        <f>MAX(0,J265)*Model!$B$23</f>
        <v/>
      </c>
      <c r="K267" s="18">
        <f>MAX(0,K265)*Model!$B$23</f>
        <v/>
      </c>
      <c r="L267" s="18">
        <f>MAX(0,L265)*Model!$B$23</f>
        <v/>
      </c>
      <c r="N267" s="19">
        <f>SUM(C267:L267)</f>
        <v/>
      </c>
    </row>
    <row r="268">
      <c r="A268" t="inlineStr">
        <is>
          <t>After-tax cash flow</t>
        </is>
      </c>
      <c r="B268" t="inlineStr">
        <is>
          <t>$M</t>
        </is>
      </c>
      <c r="C268" s="18">
        <f>C265-C267</f>
        <v/>
      </c>
      <c r="D268" s="18">
        <f>D265-D267</f>
        <v/>
      </c>
      <c r="E268" s="18">
        <f>E265-E267</f>
        <v/>
      </c>
      <c r="F268" s="18">
        <f>F265-F267</f>
        <v/>
      </c>
      <c r="G268" s="18">
        <f>G265-G267</f>
        <v/>
      </c>
      <c r="H268" s="18">
        <f>H265-H267</f>
        <v/>
      </c>
      <c r="I268" s="18">
        <f>I265-I267</f>
        <v/>
      </c>
      <c r="J268" s="18">
        <f>J265-J267</f>
        <v/>
      </c>
      <c r="K268" s="18">
        <f>K265-K267</f>
        <v/>
      </c>
      <c r="L268" s="18">
        <f>L265-L267</f>
        <v/>
      </c>
      <c r="N268" s="19">
        <f>SUM(C268:L268)</f>
        <v/>
      </c>
    </row>
    <row r="269">
      <c r="A269" t="inlineStr">
        <is>
          <t>Present value</t>
        </is>
      </c>
      <c r="B269" t="inlineStr">
        <is>
          <t>$M</t>
        </is>
      </c>
      <c r="C269" s="18">
        <f>C268/(1+Model!$B$24)^C$257</f>
        <v/>
      </c>
      <c r="D269" s="18">
        <f>D268/(1+Model!$B$24)^D$257</f>
        <v/>
      </c>
      <c r="E269" s="18">
        <f>E268/(1+Model!$B$24)^E$257</f>
        <v/>
      </c>
      <c r="F269" s="18">
        <f>F268/(1+Model!$B$24)^F$257</f>
        <v/>
      </c>
      <c r="G269" s="18">
        <f>G268/(1+Model!$B$24)^G$257</f>
        <v/>
      </c>
      <c r="H269" s="18">
        <f>H268/(1+Model!$B$24)^H$257</f>
        <v/>
      </c>
      <c r="I269" s="18">
        <f>I268/(1+Model!$B$24)^I$257</f>
        <v/>
      </c>
      <c r="J269" s="18">
        <f>J268/(1+Model!$B$24)^J$257</f>
        <v/>
      </c>
      <c r="K269" s="18">
        <f>K268/(1+Model!$B$24)^K$257</f>
        <v/>
      </c>
      <c r="L269" s="18">
        <f>L268/(1+Model!$B$24)^L$257</f>
        <v/>
      </c>
      <c r="M269" s="18">
        <f>IF(ISNUMBER($B$273),$B$273,"excluded (undefined)")</f>
        <v/>
      </c>
      <c r="N269" s="19">
        <f>SUM(C269:L269)</f>
        <v/>
      </c>
    </row>
    <row r="271">
      <c r="A271" s="21" t="inlineStr">
        <is>
          <t>Sum of present values, years 1-10</t>
        </is>
      </c>
      <c r="B271" s="22">
        <f>SUM(C269:L269)</f>
        <v/>
      </c>
      <c r="C271" t="inlineStr">
        <is>
          <t>$M</t>
        </is>
      </c>
    </row>
    <row r="272">
      <c r="A272" s="21" t="inlineStr">
        <is>
          <t>Terminal value at year 10</t>
        </is>
      </c>
      <c r="B272" s="22">
        <f>IF(Model!$B$24&gt;Model!$B$28,L268*(1+Model!$B$28)/(Model!$B$24-Model!$B$28),"terminal value undefined: discount rate must exceed terminal growth")</f>
        <v/>
      </c>
      <c r="C272" t="inlineStr">
        <is>
          <t>$M</t>
        </is>
      </c>
    </row>
    <row r="273">
      <c r="A273" s="21" t="inlineStr">
        <is>
          <t>Present value of terminal value</t>
        </is>
      </c>
      <c r="B273" s="22">
        <f>IF(ISNUMBER($B$272),$B$272/(1+Model!$B$24)^L$257,"excluded (undefined)")</f>
        <v/>
      </c>
      <c r="C273" t="inlineStr">
        <is>
          <t>$M</t>
        </is>
      </c>
    </row>
    <row r="274">
      <c r="A274" s="3" t="inlineStr">
        <is>
          <t>Equity value</t>
        </is>
      </c>
      <c r="B274" s="23">
        <f>$B$271+IF(ISNUMBER($B$273),$B$273,0)-Model!$B$20</f>
        <v/>
      </c>
      <c r="C274" t="inlineStr">
        <is>
          <t>$M</t>
        </is>
      </c>
    </row>
    <row r="275">
      <c r="A275" s="21" t="inlineStr">
        <is>
          <t>Terminal value as share of equity value</t>
        </is>
      </c>
      <c r="B275" s="24">
        <f>IF(ISNUMBER($B$273),IF($B$274=0,"n/a (equity value is 0)",$B$273/$B$274),"excluded (undefined)")</f>
        <v/>
      </c>
      <c r="C275" t="inlineStr">
        <is>
          <t>fraction</t>
        </is>
      </c>
    </row>
    <row r="276">
      <c r="A276" s="21" t="inlineStr">
        <is>
          <t>Equity value / TTM revenue (price-to-sales)</t>
        </is>
      </c>
      <c r="B276" s="11">
        <f>IF(Model!$B$21=0,0,$B$274/Model!$B$21)</f>
        <v/>
      </c>
      <c r="C276" t="inlineStr">
        <is>
          <t>x</t>
        </is>
      </c>
    </row>
    <row r="279">
      <c r="A279" s="3" t="inlineStr">
        <is>
          <t>Scenario: retention = Model!A74, ring growth = Model!B70</t>
        </is>
      </c>
    </row>
    <row r="280">
      <c r="A280" s="3" t="inlineStr">
        <is>
          <t>Year</t>
        </is>
      </c>
      <c r="B280" s="3" t="inlineStr">
        <is>
          <t>Unit</t>
        </is>
      </c>
      <c r="C280" s="15" t="n">
        <v>1</v>
      </c>
      <c r="D280" s="15" t="n">
        <v>2</v>
      </c>
      <c r="E280" s="15" t="n">
        <v>3</v>
      </c>
      <c r="F280" s="15" t="n">
        <v>4</v>
      </c>
      <c r="G280" s="15" t="n">
        <v>5</v>
      </c>
      <c r="H280" s="15" t="n">
        <v>6</v>
      </c>
      <c r="I280" s="15" t="n">
        <v>7</v>
      </c>
      <c r="J280" s="15" t="n">
        <v>8</v>
      </c>
      <c r="K280" s="15" t="n">
        <v>9</v>
      </c>
      <c r="L280" s="15" t="n">
        <v>10</v>
      </c>
      <c r="M280" s="3" t="inlineStr">
        <is>
          <t>Terminal</t>
        </is>
      </c>
      <c r="N280" s="3" t="inlineStr">
        <is>
          <t>Total</t>
        </is>
      </c>
    </row>
    <row r="281">
      <c r="A281" t="inlineStr">
        <is>
          <t>Rings sold</t>
        </is>
      </c>
      <c r="B281" t="inlineStr">
        <is>
          <t>M</t>
        </is>
      </c>
      <c r="C281" s="16">
        <f>Model!$B$17*(1+Model!$B$70)^MIN(C$280,Model!$B$26)</f>
        <v/>
      </c>
      <c r="D281" s="16">
        <f>Model!$B$17*(1+Model!$B$70)^MIN(D$280,Model!$B$26)</f>
        <v/>
      </c>
      <c r="E281" s="16">
        <f>Model!$B$17*(1+Model!$B$70)^MIN(E$280,Model!$B$26)</f>
        <v/>
      </c>
      <c r="F281" s="16">
        <f>Model!$B$17*(1+Model!$B$70)^MIN(F$280,Model!$B$26)</f>
        <v/>
      </c>
      <c r="G281" s="16">
        <f>Model!$B$17*(1+Model!$B$70)^MIN(G$280,Model!$B$26)</f>
        <v/>
      </c>
      <c r="H281" s="16">
        <f>Model!$B$17*(1+Model!$B$70)^MIN(H$280,Model!$B$26)</f>
        <v/>
      </c>
      <c r="I281" s="16">
        <f>Model!$B$17*(1+Model!$B$70)^MIN(I$280,Model!$B$26)</f>
        <v/>
      </c>
      <c r="J281" s="16">
        <f>Model!$B$17*(1+Model!$B$70)^MIN(J$280,Model!$B$26)</f>
        <v/>
      </c>
      <c r="K281" s="16">
        <f>Model!$B$17*(1+Model!$B$70)^MIN(K$280,Model!$B$26)</f>
        <v/>
      </c>
      <c r="L281" s="16">
        <f>Model!$B$17*(1+Model!$B$70)^MIN(L$280,Model!$B$26)</f>
        <v/>
      </c>
      <c r="N281" s="17">
        <f>SUM(C281:L281)</f>
        <v/>
      </c>
    </row>
    <row r="282">
      <c r="A282" t="inlineStr">
        <is>
          <t>New paid members</t>
        </is>
      </c>
      <c r="B282" t="inlineStr">
        <is>
          <t>M</t>
        </is>
      </c>
      <c r="C282" s="16">
        <f>C281*(1-Model!$B$13)*Model!$B$12</f>
        <v/>
      </c>
      <c r="D282" s="16">
        <f>D281*(1-Model!$B$13)*Model!$B$12</f>
        <v/>
      </c>
      <c r="E282" s="16">
        <f>E281*(1-Model!$B$13)*Model!$B$12</f>
        <v/>
      </c>
      <c r="F282" s="16">
        <f>F281*(1-Model!$B$13)*Model!$B$12</f>
        <v/>
      </c>
      <c r="G282" s="16">
        <f>G281*(1-Model!$B$13)*Model!$B$12</f>
        <v/>
      </c>
      <c r="H282" s="16">
        <f>H281*(1-Model!$B$13)*Model!$B$12</f>
        <v/>
      </c>
      <c r="I282" s="16">
        <f>I281*(1-Model!$B$13)*Model!$B$12</f>
        <v/>
      </c>
      <c r="J282" s="16">
        <f>J281*(1-Model!$B$13)*Model!$B$12</f>
        <v/>
      </c>
      <c r="K282" s="16">
        <f>K281*(1-Model!$B$13)*Model!$B$12</f>
        <v/>
      </c>
      <c r="L282" s="16">
        <f>L281*(1-Model!$B$13)*Model!$B$12</f>
        <v/>
      </c>
      <c r="N282" s="17">
        <f>SUM(C282:L282)</f>
        <v/>
      </c>
    </row>
    <row r="283">
      <c r="A283" t="inlineStr">
        <is>
          <t>Paid members</t>
        </is>
      </c>
      <c r="B283" t="inlineStr">
        <is>
          <t>M</t>
        </is>
      </c>
      <c r="C283" s="16">
        <f>Model!$B$18*Model!$A$74+C282</f>
        <v/>
      </c>
      <c r="D283" s="16">
        <f>C283*Model!$A$74+D282</f>
        <v/>
      </c>
      <c r="E283" s="16">
        <f>D283*Model!$A$74+E282</f>
        <v/>
      </c>
      <c r="F283" s="16">
        <f>E283*Model!$A$74+F282</f>
        <v/>
      </c>
      <c r="G283" s="16">
        <f>F283*Model!$A$74+G282</f>
        <v/>
      </c>
      <c r="H283" s="16">
        <f>G283*Model!$A$74+H282</f>
        <v/>
      </c>
      <c r="I283" s="16">
        <f>H283*Model!$A$74+I282</f>
        <v/>
      </c>
      <c r="J283" s="16">
        <f>I283*Model!$A$74+J282</f>
        <v/>
      </c>
      <c r="K283" s="16">
        <f>J283*Model!$A$74+K282</f>
        <v/>
      </c>
      <c r="L283" s="16">
        <f>K283*Model!$A$74+L282</f>
        <v/>
      </c>
    </row>
    <row r="284">
      <c r="A284" t="inlineStr">
        <is>
          <t>Revenue (hardware + membership)</t>
        </is>
      </c>
      <c r="B284" t="inlineStr">
        <is>
          <t>$M</t>
        </is>
      </c>
      <c r="C284" s="18">
        <f>C281*Model!$B$8+C283*IF(Model!$A$74&gt;0,1,0)*Model!$B$10</f>
        <v/>
      </c>
      <c r="D284" s="18">
        <f>D281*Model!$B$8+D283*IF(Model!$A$74&gt;0,1,0)*Model!$B$10</f>
        <v/>
      </c>
      <c r="E284" s="18">
        <f>E281*Model!$B$8+E283*IF(Model!$A$74&gt;0,1,0)*Model!$B$10</f>
        <v/>
      </c>
      <c r="F284" s="18">
        <f>F281*Model!$B$8+F283*IF(Model!$A$74&gt;0,1,0)*Model!$B$10</f>
        <v/>
      </c>
      <c r="G284" s="18">
        <f>G281*Model!$B$8+G283*IF(Model!$A$74&gt;0,1,0)*Model!$B$10</f>
        <v/>
      </c>
      <c r="H284" s="18">
        <f>H281*Model!$B$8+H283*IF(Model!$A$74&gt;0,1,0)*Model!$B$10</f>
        <v/>
      </c>
      <c r="I284" s="18">
        <f>I281*Model!$B$8+I283*IF(Model!$A$74&gt;0,1,0)*Model!$B$10</f>
        <v/>
      </c>
      <c r="J284" s="18">
        <f>J281*Model!$B$8+J283*IF(Model!$A$74&gt;0,1,0)*Model!$B$10</f>
        <v/>
      </c>
      <c r="K284" s="18">
        <f>K281*Model!$B$8+K283*IF(Model!$A$74&gt;0,1,0)*Model!$B$10</f>
        <v/>
      </c>
      <c r="L284" s="18">
        <f>L281*Model!$B$8+L283*IF(Model!$A$74&gt;0,1,0)*Model!$B$10</f>
        <v/>
      </c>
      <c r="N284" s="19">
        <f>SUM(C284:L284)</f>
        <v/>
      </c>
    </row>
    <row r="285">
      <c r="A285" t="inlineStr">
        <is>
          <t>Membership gross profit</t>
        </is>
      </c>
      <c r="B285" t="inlineStr">
        <is>
          <t>$M</t>
        </is>
      </c>
      <c r="C285" s="18">
        <f>C283*IF(Model!$A$74&gt;0,1,0)*Model!$B$10*Model!$B$11</f>
        <v/>
      </c>
      <c r="D285" s="18">
        <f>D283*IF(Model!$A$74&gt;0,1,0)*Model!$B$10*Model!$B$11</f>
        <v/>
      </c>
      <c r="E285" s="18">
        <f>E283*IF(Model!$A$74&gt;0,1,0)*Model!$B$10*Model!$B$11</f>
        <v/>
      </c>
      <c r="F285" s="18">
        <f>F283*IF(Model!$A$74&gt;0,1,0)*Model!$B$10*Model!$B$11</f>
        <v/>
      </c>
      <c r="G285" s="18">
        <f>G283*IF(Model!$A$74&gt;0,1,0)*Model!$B$10*Model!$B$11</f>
        <v/>
      </c>
      <c r="H285" s="18">
        <f>H283*IF(Model!$A$74&gt;0,1,0)*Model!$B$10*Model!$B$11</f>
        <v/>
      </c>
      <c r="I285" s="18">
        <f>I283*IF(Model!$A$74&gt;0,1,0)*Model!$B$10*Model!$B$11</f>
        <v/>
      </c>
      <c r="J285" s="18">
        <f>J283*IF(Model!$A$74&gt;0,1,0)*Model!$B$10*Model!$B$11</f>
        <v/>
      </c>
      <c r="K285" s="18">
        <f>K283*IF(Model!$A$74&gt;0,1,0)*Model!$B$10*Model!$B$11</f>
        <v/>
      </c>
      <c r="L285" s="18">
        <f>L283*IF(Model!$A$74&gt;0,1,0)*Model!$B$10*Model!$B$11</f>
        <v/>
      </c>
      <c r="N285" s="19">
        <f>SUM(C285:L285)</f>
        <v/>
      </c>
    </row>
    <row r="286">
      <c r="A286" t="inlineStr">
        <is>
          <t>Hardware contribution</t>
        </is>
      </c>
      <c r="B286" t="inlineStr">
        <is>
          <t>$M</t>
        </is>
      </c>
      <c r="C286" s="18">
        <f>C281*Model!$B$34</f>
        <v/>
      </c>
      <c r="D286" s="18">
        <f>D281*Model!$B$34</f>
        <v/>
      </c>
      <c r="E286" s="18">
        <f>E281*Model!$B$34</f>
        <v/>
      </c>
      <c r="F286" s="18">
        <f>F281*Model!$B$34</f>
        <v/>
      </c>
      <c r="G286" s="18">
        <f>G281*Model!$B$34</f>
        <v/>
      </c>
      <c r="H286" s="18">
        <f>H281*Model!$B$34</f>
        <v/>
      </c>
      <c r="I286" s="18">
        <f>I281*Model!$B$34</f>
        <v/>
      </c>
      <c r="J286" s="18">
        <f>J281*Model!$B$34</f>
        <v/>
      </c>
      <c r="K286" s="18">
        <f>K281*Model!$B$34</f>
        <v/>
      </c>
      <c r="L286" s="18">
        <f>L281*Model!$B$34</f>
        <v/>
      </c>
      <c r="N286" s="19">
        <f>SUM(C286:L286)</f>
        <v/>
      </c>
    </row>
    <row r="287">
      <c r="A287" t="inlineStr">
        <is>
          <t>Fixed costs (R&amp;D + G&amp;A)</t>
        </is>
      </c>
      <c r="B287" t="inlineStr">
        <is>
          <t>$M</t>
        </is>
      </c>
      <c r="C287" s="18">
        <f>Model!$B$19*(1+Model!$B$27)^MIN(C$280,Model!$B$26)</f>
        <v/>
      </c>
      <c r="D287" s="18">
        <f>Model!$B$19*(1+Model!$B$27)^MIN(D$280,Model!$B$26)</f>
        <v/>
      </c>
      <c r="E287" s="18">
        <f>Model!$B$19*(1+Model!$B$27)^MIN(E$280,Model!$B$26)</f>
        <v/>
      </c>
      <c r="F287" s="18">
        <f>Model!$B$19*(1+Model!$B$27)^MIN(F$280,Model!$B$26)</f>
        <v/>
      </c>
      <c r="G287" s="18">
        <f>Model!$B$19*(1+Model!$B$27)^MIN(G$280,Model!$B$26)</f>
        <v/>
      </c>
      <c r="H287" s="18">
        <f>Model!$B$19*(1+Model!$B$27)^MIN(H$280,Model!$B$26)</f>
        <v/>
      </c>
      <c r="I287" s="18">
        <f>Model!$B$19*(1+Model!$B$27)^MIN(I$280,Model!$B$26)</f>
        <v/>
      </c>
      <c r="J287" s="18">
        <f>Model!$B$19*(1+Model!$B$27)^MIN(J$280,Model!$B$26)</f>
        <v/>
      </c>
      <c r="K287" s="18">
        <f>Model!$B$19*(1+Model!$B$27)^MIN(K$280,Model!$B$26)</f>
        <v/>
      </c>
      <c r="L287" s="18">
        <f>Model!$B$19*(1+Model!$B$27)^MIN(L$280,Model!$B$26)</f>
        <v/>
      </c>
      <c r="N287" s="19">
        <f>SUM(C287:L287)</f>
        <v/>
      </c>
    </row>
    <row r="288">
      <c r="A288" t="inlineStr">
        <is>
          <t>Operating profit  ⚠ full-year membership credit in every cohort's acquisition year (see the year-one flag on the web page); reported nine-month income from operations was $71.2M</t>
        </is>
      </c>
      <c r="B288" t="inlineStr">
        <is>
          <t>$M</t>
        </is>
      </c>
      <c r="C288" s="18">
        <f>C285+C286-C287</f>
        <v/>
      </c>
      <c r="D288" s="18">
        <f>D285+D286-D287</f>
        <v/>
      </c>
      <c r="E288" s="18">
        <f>E285+E286-E287</f>
        <v/>
      </c>
      <c r="F288" s="18">
        <f>F285+F286-F287</f>
        <v/>
      </c>
      <c r="G288" s="18">
        <f>G285+G286-G287</f>
        <v/>
      </c>
      <c r="H288" s="18">
        <f>H285+H286-H287</f>
        <v/>
      </c>
      <c r="I288" s="18">
        <f>I285+I286-I287</f>
        <v/>
      </c>
      <c r="J288" s="18">
        <f>J285+J286-J287</f>
        <v/>
      </c>
      <c r="K288" s="18">
        <f>K285+K286-K287</f>
        <v/>
      </c>
      <c r="L288" s="18">
        <f>L285+L286-L287</f>
        <v/>
      </c>
      <c r="N288" s="19">
        <f>SUM(C288:L288)</f>
        <v/>
      </c>
    </row>
    <row r="289">
      <c r="A289" t="inlineStr">
        <is>
          <t>Operating margin</t>
        </is>
      </c>
      <c r="B289" t="inlineStr">
        <is>
          <t>fraction</t>
        </is>
      </c>
      <c r="C289" s="20">
        <f>IF(C284=0,0,C288/C284)</f>
        <v/>
      </c>
      <c r="D289" s="20">
        <f>IF(D284=0,0,D288/D284)</f>
        <v/>
      </c>
      <c r="E289" s="20">
        <f>IF(E284=0,0,E288/E284)</f>
        <v/>
      </c>
      <c r="F289" s="20">
        <f>IF(F284=0,0,F288/F284)</f>
        <v/>
      </c>
      <c r="G289" s="20">
        <f>IF(G284=0,0,G288/G284)</f>
        <v/>
      </c>
      <c r="H289" s="20">
        <f>IF(H284=0,0,H288/H284)</f>
        <v/>
      </c>
      <c r="I289" s="20">
        <f>IF(I284=0,0,I288/I284)</f>
        <v/>
      </c>
      <c r="J289" s="20">
        <f>IF(J284=0,0,J288/J284)</f>
        <v/>
      </c>
      <c r="K289" s="20">
        <f>IF(K284=0,0,K288/K284)</f>
        <v/>
      </c>
      <c r="L289" s="20">
        <f>IF(L284=0,0,L288/L284)</f>
        <v/>
      </c>
    </row>
    <row r="290">
      <c r="A290" t="inlineStr">
        <is>
          <t>Tax</t>
        </is>
      </c>
      <c r="B290" t="inlineStr">
        <is>
          <t>$M</t>
        </is>
      </c>
      <c r="C290" s="18">
        <f>MAX(0,C288)*Model!$B$23</f>
        <v/>
      </c>
      <c r="D290" s="18">
        <f>MAX(0,D288)*Model!$B$23</f>
        <v/>
      </c>
      <c r="E290" s="18">
        <f>MAX(0,E288)*Model!$B$23</f>
        <v/>
      </c>
      <c r="F290" s="18">
        <f>MAX(0,F288)*Model!$B$23</f>
        <v/>
      </c>
      <c r="G290" s="18">
        <f>MAX(0,G288)*Model!$B$23</f>
        <v/>
      </c>
      <c r="H290" s="18">
        <f>MAX(0,H288)*Model!$B$23</f>
        <v/>
      </c>
      <c r="I290" s="18">
        <f>MAX(0,I288)*Model!$B$23</f>
        <v/>
      </c>
      <c r="J290" s="18">
        <f>MAX(0,J288)*Model!$B$23</f>
        <v/>
      </c>
      <c r="K290" s="18">
        <f>MAX(0,K288)*Model!$B$23</f>
        <v/>
      </c>
      <c r="L290" s="18">
        <f>MAX(0,L288)*Model!$B$23</f>
        <v/>
      </c>
      <c r="N290" s="19">
        <f>SUM(C290:L290)</f>
        <v/>
      </c>
    </row>
    <row r="291">
      <c r="A291" t="inlineStr">
        <is>
          <t>After-tax cash flow</t>
        </is>
      </c>
      <c r="B291" t="inlineStr">
        <is>
          <t>$M</t>
        </is>
      </c>
      <c r="C291" s="18">
        <f>C288-C290</f>
        <v/>
      </c>
      <c r="D291" s="18">
        <f>D288-D290</f>
        <v/>
      </c>
      <c r="E291" s="18">
        <f>E288-E290</f>
        <v/>
      </c>
      <c r="F291" s="18">
        <f>F288-F290</f>
        <v/>
      </c>
      <c r="G291" s="18">
        <f>G288-G290</f>
        <v/>
      </c>
      <c r="H291" s="18">
        <f>H288-H290</f>
        <v/>
      </c>
      <c r="I291" s="18">
        <f>I288-I290</f>
        <v/>
      </c>
      <c r="J291" s="18">
        <f>J288-J290</f>
        <v/>
      </c>
      <c r="K291" s="18">
        <f>K288-K290</f>
        <v/>
      </c>
      <c r="L291" s="18">
        <f>L288-L290</f>
        <v/>
      </c>
      <c r="N291" s="19">
        <f>SUM(C291:L291)</f>
        <v/>
      </c>
    </row>
    <row r="292">
      <c r="A292" t="inlineStr">
        <is>
          <t>Present value</t>
        </is>
      </c>
      <c r="B292" t="inlineStr">
        <is>
          <t>$M</t>
        </is>
      </c>
      <c r="C292" s="18">
        <f>C291/(1+Model!$B$24)^C$280</f>
        <v/>
      </c>
      <c r="D292" s="18">
        <f>D291/(1+Model!$B$24)^D$280</f>
        <v/>
      </c>
      <c r="E292" s="18">
        <f>E291/(1+Model!$B$24)^E$280</f>
        <v/>
      </c>
      <c r="F292" s="18">
        <f>F291/(1+Model!$B$24)^F$280</f>
        <v/>
      </c>
      <c r="G292" s="18">
        <f>G291/(1+Model!$B$24)^G$280</f>
        <v/>
      </c>
      <c r="H292" s="18">
        <f>H291/(1+Model!$B$24)^H$280</f>
        <v/>
      </c>
      <c r="I292" s="18">
        <f>I291/(1+Model!$B$24)^I$280</f>
        <v/>
      </c>
      <c r="J292" s="18">
        <f>J291/(1+Model!$B$24)^J$280</f>
        <v/>
      </c>
      <c r="K292" s="18">
        <f>K291/(1+Model!$B$24)^K$280</f>
        <v/>
      </c>
      <c r="L292" s="18">
        <f>L291/(1+Model!$B$24)^L$280</f>
        <v/>
      </c>
      <c r="M292" s="18">
        <f>IF(ISNUMBER($B$296),$B$296,"excluded (undefined)")</f>
        <v/>
      </c>
      <c r="N292" s="19">
        <f>SUM(C292:L292)</f>
        <v/>
      </c>
    </row>
    <row r="294">
      <c r="A294" s="21" t="inlineStr">
        <is>
          <t>Sum of present values, years 1-10</t>
        </is>
      </c>
      <c r="B294" s="22">
        <f>SUM(C292:L292)</f>
        <v/>
      </c>
      <c r="C294" t="inlineStr">
        <is>
          <t>$M</t>
        </is>
      </c>
    </row>
    <row r="295">
      <c r="A295" s="21" t="inlineStr">
        <is>
          <t>Terminal value at year 10</t>
        </is>
      </c>
      <c r="B295" s="22">
        <f>IF(Model!$B$24&gt;Model!$B$28,L291*(1+Model!$B$28)/(Model!$B$24-Model!$B$28),"terminal value undefined: discount rate must exceed terminal growth")</f>
        <v/>
      </c>
      <c r="C295" t="inlineStr">
        <is>
          <t>$M</t>
        </is>
      </c>
    </row>
    <row r="296">
      <c r="A296" s="21" t="inlineStr">
        <is>
          <t>Present value of terminal value</t>
        </is>
      </c>
      <c r="B296" s="22">
        <f>IF(ISNUMBER($B$295),$B$295/(1+Model!$B$24)^L$280,"excluded (undefined)")</f>
        <v/>
      </c>
      <c r="C296" t="inlineStr">
        <is>
          <t>$M</t>
        </is>
      </c>
    </row>
    <row r="297">
      <c r="A297" s="3" t="inlineStr">
        <is>
          <t>Equity value</t>
        </is>
      </c>
      <c r="B297" s="23">
        <f>$B$294+IF(ISNUMBER($B$296),$B$296,0)-Model!$B$20</f>
        <v/>
      </c>
      <c r="C297" t="inlineStr">
        <is>
          <t>$M</t>
        </is>
      </c>
    </row>
    <row r="298">
      <c r="A298" s="21" t="inlineStr">
        <is>
          <t>Terminal value as share of equity value</t>
        </is>
      </c>
      <c r="B298" s="24">
        <f>IF(ISNUMBER($B$296),IF($B$297=0,"n/a (equity value is 0)",$B$296/$B$297),"excluded (undefined)")</f>
        <v/>
      </c>
      <c r="C298" t="inlineStr">
        <is>
          <t>fraction</t>
        </is>
      </c>
    </row>
    <row r="299">
      <c r="A299" s="21" t="inlineStr">
        <is>
          <t>Equity value / TTM revenue (price-to-sales)</t>
        </is>
      </c>
      <c r="B299" s="11">
        <f>IF(Model!$B$21=0,0,$B$297/Model!$B$21)</f>
        <v/>
      </c>
      <c r="C299" t="inlineStr">
        <is>
          <t>x</t>
        </is>
      </c>
    </row>
    <row r="302">
      <c r="A302" s="3" t="inlineStr">
        <is>
          <t>Scenario: retention = Model!A74, ring growth = Model!C70</t>
        </is>
      </c>
    </row>
    <row r="303">
      <c r="A303" s="3" t="inlineStr">
        <is>
          <t>Year</t>
        </is>
      </c>
      <c r="B303" s="3" t="inlineStr">
        <is>
          <t>Unit</t>
        </is>
      </c>
      <c r="C303" s="15" t="n">
        <v>1</v>
      </c>
      <c r="D303" s="15" t="n">
        <v>2</v>
      </c>
      <c r="E303" s="15" t="n">
        <v>3</v>
      </c>
      <c r="F303" s="15" t="n">
        <v>4</v>
      </c>
      <c r="G303" s="15" t="n">
        <v>5</v>
      </c>
      <c r="H303" s="15" t="n">
        <v>6</v>
      </c>
      <c r="I303" s="15" t="n">
        <v>7</v>
      </c>
      <c r="J303" s="15" t="n">
        <v>8</v>
      </c>
      <c r="K303" s="15" t="n">
        <v>9</v>
      </c>
      <c r="L303" s="15" t="n">
        <v>10</v>
      </c>
      <c r="M303" s="3" t="inlineStr">
        <is>
          <t>Terminal</t>
        </is>
      </c>
      <c r="N303" s="3" t="inlineStr">
        <is>
          <t>Total</t>
        </is>
      </c>
    </row>
    <row r="304">
      <c r="A304" t="inlineStr">
        <is>
          <t>Rings sold</t>
        </is>
      </c>
      <c r="B304" t="inlineStr">
        <is>
          <t>M</t>
        </is>
      </c>
      <c r="C304" s="16">
        <f>Model!$B$17*(1+Model!$C$70)^MIN(C$303,Model!$B$26)</f>
        <v/>
      </c>
      <c r="D304" s="16">
        <f>Model!$B$17*(1+Model!$C$70)^MIN(D$303,Model!$B$26)</f>
        <v/>
      </c>
      <c r="E304" s="16">
        <f>Model!$B$17*(1+Model!$C$70)^MIN(E$303,Model!$B$26)</f>
        <v/>
      </c>
      <c r="F304" s="16">
        <f>Model!$B$17*(1+Model!$C$70)^MIN(F$303,Model!$B$26)</f>
        <v/>
      </c>
      <c r="G304" s="16">
        <f>Model!$B$17*(1+Model!$C$70)^MIN(G$303,Model!$B$26)</f>
        <v/>
      </c>
      <c r="H304" s="16">
        <f>Model!$B$17*(1+Model!$C$70)^MIN(H$303,Model!$B$26)</f>
        <v/>
      </c>
      <c r="I304" s="16">
        <f>Model!$B$17*(1+Model!$C$70)^MIN(I$303,Model!$B$26)</f>
        <v/>
      </c>
      <c r="J304" s="16">
        <f>Model!$B$17*(1+Model!$C$70)^MIN(J$303,Model!$B$26)</f>
        <v/>
      </c>
      <c r="K304" s="16">
        <f>Model!$B$17*(1+Model!$C$70)^MIN(K$303,Model!$B$26)</f>
        <v/>
      </c>
      <c r="L304" s="16">
        <f>Model!$B$17*(1+Model!$C$70)^MIN(L$303,Model!$B$26)</f>
        <v/>
      </c>
      <c r="N304" s="17">
        <f>SUM(C304:L304)</f>
        <v/>
      </c>
    </row>
    <row r="305">
      <c r="A305" t="inlineStr">
        <is>
          <t>New paid members</t>
        </is>
      </c>
      <c r="B305" t="inlineStr">
        <is>
          <t>M</t>
        </is>
      </c>
      <c r="C305" s="16">
        <f>C304*(1-Model!$B$13)*Model!$B$12</f>
        <v/>
      </c>
      <c r="D305" s="16">
        <f>D304*(1-Model!$B$13)*Model!$B$12</f>
        <v/>
      </c>
      <c r="E305" s="16">
        <f>E304*(1-Model!$B$13)*Model!$B$12</f>
        <v/>
      </c>
      <c r="F305" s="16">
        <f>F304*(1-Model!$B$13)*Model!$B$12</f>
        <v/>
      </c>
      <c r="G305" s="16">
        <f>G304*(1-Model!$B$13)*Model!$B$12</f>
        <v/>
      </c>
      <c r="H305" s="16">
        <f>H304*(1-Model!$B$13)*Model!$B$12</f>
        <v/>
      </c>
      <c r="I305" s="16">
        <f>I304*(1-Model!$B$13)*Model!$B$12</f>
        <v/>
      </c>
      <c r="J305" s="16">
        <f>J304*(1-Model!$B$13)*Model!$B$12</f>
        <v/>
      </c>
      <c r="K305" s="16">
        <f>K304*(1-Model!$B$13)*Model!$B$12</f>
        <v/>
      </c>
      <c r="L305" s="16">
        <f>L304*(1-Model!$B$13)*Model!$B$12</f>
        <v/>
      </c>
      <c r="N305" s="17">
        <f>SUM(C305:L305)</f>
        <v/>
      </c>
    </row>
    <row r="306">
      <c r="A306" t="inlineStr">
        <is>
          <t>Paid members</t>
        </is>
      </c>
      <c r="B306" t="inlineStr">
        <is>
          <t>M</t>
        </is>
      </c>
      <c r="C306" s="16">
        <f>Model!$B$18*Model!$A$74+C305</f>
        <v/>
      </c>
      <c r="D306" s="16">
        <f>C306*Model!$A$74+D305</f>
        <v/>
      </c>
      <c r="E306" s="16">
        <f>D306*Model!$A$74+E305</f>
        <v/>
      </c>
      <c r="F306" s="16">
        <f>E306*Model!$A$74+F305</f>
        <v/>
      </c>
      <c r="G306" s="16">
        <f>F306*Model!$A$74+G305</f>
        <v/>
      </c>
      <c r="H306" s="16">
        <f>G306*Model!$A$74+H305</f>
        <v/>
      </c>
      <c r="I306" s="16">
        <f>H306*Model!$A$74+I305</f>
        <v/>
      </c>
      <c r="J306" s="16">
        <f>I306*Model!$A$74+J305</f>
        <v/>
      </c>
      <c r="K306" s="16">
        <f>J306*Model!$A$74+K305</f>
        <v/>
      </c>
      <c r="L306" s="16">
        <f>K306*Model!$A$74+L305</f>
        <v/>
      </c>
    </row>
    <row r="307">
      <c r="A307" t="inlineStr">
        <is>
          <t>Revenue (hardware + membership)</t>
        </is>
      </c>
      <c r="B307" t="inlineStr">
        <is>
          <t>$M</t>
        </is>
      </c>
      <c r="C307" s="18">
        <f>C304*Model!$B$8+C306*IF(Model!$A$74&gt;0,1,0)*Model!$B$10</f>
        <v/>
      </c>
      <c r="D307" s="18">
        <f>D304*Model!$B$8+D306*IF(Model!$A$74&gt;0,1,0)*Model!$B$10</f>
        <v/>
      </c>
      <c r="E307" s="18">
        <f>E304*Model!$B$8+E306*IF(Model!$A$74&gt;0,1,0)*Model!$B$10</f>
        <v/>
      </c>
      <c r="F307" s="18">
        <f>F304*Model!$B$8+F306*IF(Model!$A$74&gt;0,1,0)*Model!$B$10</f>
        <v/>
      </c>
      <c r="G307" s="18">
        <f>G304*Model!$B$8+G306*IF(Model!$A$74&gt;0,1,0)*Model!$B$10</f>
        <v/>
      </c>
      <c r="H307" s="18">
        <f>H304*Model!$B$8+H306*IF(Model!$A$74&gt;0,1,0)*Model!$B$10</f>
        <v/>
      </c>
      <c r="I307" s="18">
        <f>I304*Model!$B$8+I306*IF(Model!$A$74&gt;0,1,0)*Model!$B$10</f>
        <v/>
      </c>
      <c r="J307" s="18">
        <f>J304*Model!$B$8+J306*IF(Model!$A$74&gt;0,1,0)*Model!$B$10</f>
        <v/>
      </c>
      <c r="K307" s="18">
        <f>K304*Model!$B$8+K306*IF(Model!$A$74&gt;0,1,0)*Model!$B$10</f>
        <v/>
      </c>
      <c r="L307" s="18">
        <f>L304*Model!$B$8+L306*IF(Model!$A$74&gt;0,1,0)*Model!$B$10</f>
        <v/>
      </c>
      <c r="N307" s="19">
        <f>SUM(C307:L307)</f>
        <v/>
      </c>
    </row>
    <row r="308">
      <c r="A308" t="inlineStr">
        <is>
          <t>Membership gross profit</t>
        </is>
      </c>
      <c r="B308" t="inlineStr">
        <is>
          <t>$M</t>
        </is>
      </c>
      <c r="C308" s="18">
        <f>C306*IF(Model!$A$74&gt;0,1,0)*Model!$B$10*Model!$B$11</f>
        <v/>
      </c>
      <c r="D308" s="18">
        <f>D306*IF(Model!$A$74&gt;0,1,0)*Model!$B$10*Model!$B$11</f>
        <v/>
      </c>
      <c r="E308" s="18">
        <f>E306*IF(Model!$A$74&gt;0,1,0)*Model!$B$10*Model!$B$11</f>
        <v/>
      </c>
      <c r="F308" s="18">
        <f>F306*IF(Model!$A$74&gt;0,1,0)*Model!$B$10*Model!$B$11</f>
        <v/>
      </c>
      <c r="G308" s="18">
        <f>G306*IF(Model!$A$74&gt;0,1,0)*Model!$B$10*Model!$B$11</f>
        <v/>
      </c>
      <c r="H308" s="18">
        <f>H306*IF(Model!$A$74&gt;0,1,0)*Model!$B$10*Model!$B$11</f>
        <v/>
      </c>
      <c r="I308" s="18">
        <f>I306*IF(Model!$A$74&gt;0,1,0)*Model!$B$10*Model!$B$11</f>
        <v/>
      </c>
      <c r="J308" s="18">
        <f>J306*IF(Model!$A$74&gt;0,1,0)*Model!$B$10*Model!$B$11</f>
        <v/>
      </c>
      <c r="K308" s="18">
        <f>K306*IF(Model!$A$74&gt;0,1,0)*Model!$B$10*Model!$B$11</f>
        <v/>
      </c>
      <c r="L308" s="18">
        <f>L306*IF(Model!$A$74&gt;0,1,0)*Model!$B$10*Model!$B$11</f>
        <v/>
      </c>
      <c r="N308" s="19">
        <f>SUM(C308:L308)</f>
        <v/>
      </c>
    </row>
    <row r="309">
      <c r="A309" t="inlineStr">
        <is>
          <t>Hardware contribution</t>
        </is>
      </c>
      <c r="B309" t="inlineStr">
        <is>
          <t>$M</t>
        </is>
      </c>
      <c r="C309" s="18">
        <f>C304*Model!$B$34</f>
        <v/>
      </c>
      <c r="D309" s="18">
        <f>D304*Model!$B$34</f>
        <v/>
      </c>
      <c r="E309" s="18">
        <f>E304*Model!$B$34</f>
        <v/>
      </c>
      <c r="F309" s="18">
        <f>F304*Model!$B$34</f>
        <v/>
      </c>
      <c r="G309" s="18">
        <f>G304*Model!$B$34</f>
        <v/>
      </c>
      <c r="H309" s="18">
        <f>H304*Model!$B$34</f>
        <v/>
      </c>
      <c r="I309" s="18">
        <f>I304*Model!$B$34</f>
        <v/>
      </c>
      <c r="J309" s="18">
        <f>J304*Model!$B$34</f>
        <v/>
      </c>
      <c r="K309" s="18">
        <f>K304*Model!$B$34</f>
        <v/>
      </c>
      <c r="L309" s="18">
        <f>L304*Model!$B$34</f>
        <v/>
      </c>
      <c r="N309" s="19">
        <f>SUM(C309:L309)</f>
        <v/>
      </c>
    </row>
    <row r="310">
      <c r="A310" t="inlineStr">
        <is>
          <t>Fixed costs (R&amp;D + G&amp;A)</t>
        </is>
      </c>
      <c r="B310" t="inlineStr">
        <is>
          <t>$M</t>
        </is>
      </c>
      <c r="C310" s="18">
        <f>Model!$B$19*(1+Model!$B$27)^MIN(C$303,Model!$B$26)</f>
        <v/>
      </c>
      <c r="D310" s="18">
        <f>Model!$B$19*(1+Model!$B$27)^MIN(D$303,Model!$B$26)</f>
        <v/>
      </c>
      <c r="E310" s="18">
        <f>Model!$B$19*(1+Model!$B$27)^MIN(E$303,Model!$B$26)</f>
        <v/>
      </c>
      <c r="F310" s="18">
        <f>Model!$B$19*(1+Model!$B$27)^MIN(F$303,Model!$B$26)</f>
        <v/>
      </c>
      <c r="G310" s="18">
        <f>Model!$B$19*(1+Model!$B$27)^MIN(G$303,Model!$B$26)</f>
        <v/>
      </c>
      <c r="H310" s="18">
        <f>Model!$B$19*(1+Model!$B$27)^MIN(H$303,Model!$B$26)</f>
        <v/>
      </c>
      <c r="I310" s="18">
        <f>Model!$B$19*(1+Model!$B$27)^MIN(I$303,Model!$B$26)</f>
        <v/>
      </c>
      <c r="J310" s="18">
        <f>Model!$B$19*(1+Model!$B$27)^MIN(J$303,Model!$B$26)</f>
        <v/>
      </c>
      <c r="K310" s="18">
        <f>Model!$B$19*(1+Model!$B$27)^MIN(K$303,Model!$B$26)</f>
        <v/>
      </c>
      <c r="L310" s="18">
        <f>Model!$B$19*(1+Model!$B$27)^MIN(L$303,Model!$B$26)</f>
        <v/>
      </c>
      <c r="N310" s="19">
        <f>SUM(C310:L310)</f>
        <v/>
      </c>
    </row>
    <row r="311">
      <c r="A311" t="inlineStr">
        <is>
          <t>Operating profit  ⚠ full-year membership credit in every cohort's acquisition year (see the year-one flag on the web page); reported nine-month income from operations was $71.2M</t>
        </is>
      </c>
      <c r="B311" t="inlineStr">
        <is>
          <t>$M</t>
        </is>
      </c>
      <c r="C311" s="18">
        <f>C308+C309-C310</f>
        <v/>
      </c>
      <c r="D311" s="18">
        <f>D308+D309-D310</f>
        <v/>
      </c>
      <c r="E311" s="18">
        <f>E308+E309-E310</f>
        <v/>
      </c>
      <c r="F311" s="18">
        <f>F308+F309-F310</f>
        <v/>
      </c>
      <c r="G311" s="18">
        <f>G308+G309-G310</f>
        <v/>
      </c>
      <c r="H311" s="18">
        <f>H308+H309-H310</f>
        <v/>
      </c>
      <c r="I311" s="18">
        <f>I308+I309-I310</f>
        <v/>
      </c>
      <c r="J311" s="18">
        <f>J308+J309-J310</f>
        <v/>
      </c>
      <c r="K311" s="18">
        <f>K308+K309-K310</f>
        <v/>
      </c>
      <c r="L311" s="18">
        <f>L308+L309-L310</f>
        <v/>
      </c>
      <c r="N311" s="19">
        <f>SUM(C311:L311)</f>
        <v/>
      </c>
    </row>
    <row r="312">
      <c r="A312" t="inlineStr">
        <is>
          <t>Operating margin</t>
        </is>
      </c>
      <c r="B312" t="inlineStr">
        <is>
          <t>fraction</t>
        </is>
      </c>
      <c r="C312" s="20">
        <f>IF(C307=0,0,C311/C307)</f>
        <v/>
      </c>
      <c r="D312" s="20">
        <f>IF(D307=0,0,D311/D307)</f>
        <v/>
      </c>
      <c r="E312" s="20">
        <f>IF(E307=0,0,E311/E307)</f>
        <v/>
      </c>
      <c r="F312" s="20">
        <f>IF(F307=0,0,F311/F307)</f>
        <v/>
      </c>
      <c r="G312" s="20">
        <f>IF(G307=0,0,G311/G307)</f>
        <v/>
      </c>
      <c r="H312" s="20">
        <f>IF(H307=0,0,H311/H307)</f>
        <v/>
      </c>
      <c r="I312" s="20">
        <f>IF(I307=0,0,I311/I307)</f>
        <v/>
      </c>
      <c r="J312" s="20">
        <f>IF(J307=0,0,J311/J307)</f>
        <v/>
      </c>
      <c r="K312" s="20">
        <f>IF(K307=0,0,K311/K307)</f>
        <v/>
      </c>
      <c r="L312" s="20">
        <f>IF(L307=0,0,L311/L307)</f>
        <v/>
      </c>
    </row>
    <row r="313">
      <c r="A313" t="inlineStr">
        <is>
          <t>Tax</t>
        </is>
      </c>
      <c r="B313" t="inlineStr">
        <is>
          <t>$M</t>
        </is>
      </c>
      <c r="C313" s="18">
        <f>MAX(0,C311)*Model!$B$23</f>
        <v/>
      </c>
      <c r="D313" s="18">
        <f>MAX(0,D311)*Model!$B$23</f>
        <v/>
      </c>
      <c r="E313" s="18">
        <f>MAX(0,E311)*Model!$B$23</f>
        <v/>
      </c>
      <c r="F313" s="18">
        <f>MAX(0,F311)*Model!$B$23</f>
        <v/>
      </c>
      <c r="G313" s="18">
        <f>MAX(0,G311)*Model!$B$23</f>
        <v/>
      </c>
      <c r="H313" s="18">
        <f>MAX(0,H311)*Model!$B$23</f>
        <v/>
      </c>
      <c r="I313" s="18">
        <f>MAX(0,I311)*Model!$B$23</f>
        <v/>
      </c>
      <c r="J313" s="18">
        <f>MAX(0,J311)*Model!$B$23</f>
        <v/>
      </c>
      <c r="K313" s="18">
        <f>MAX(0,K311)*Model!$B$23</f>
        <v/>
      </c>
      <c r="L313" s="18">
        <f>MAX(0,L311)*Model!$B$23</f>
        <v/>
      </c>
      <c r="N313" s="19">
        <f>SUM(C313:L313)</f>
        <v/>
      </c>
    </row>
    <row r="314">
      <c r="A314" t="inlineStr">
        <is>
          <t>After-tax cash flow</t>
        </is>
      </c>
      <c r="B314" t="inlineStr">
        <is>
          <t>$M</t>
        </is>
      </c>
      <c r="C314" s="18">
        <f>C311-C313</f>
        <v/>
      </c>
      <c r="D314" s="18">
        <f>D311-D313</f>
        <v/>
      </c>
      <c r="E314" s="18">
        <f>E311-E313</f>
        <v/>
      </c>
      <c r="F314" s="18">
        <f>F311-F313</f>
        <v/>
      </c>
      <c r="G314" s="18">
        <f>G311-G313</f>
        <v/>
      </c>
      <c r="H314" s="18">
        <f>H311-H313</f>
        <v/>
      </c>
      <c r="I314" s="18">
        <f>I311-I313</f>
        <v/>
      </c>
      <c r="J314" s="18">
        <f>J311-J313</f>
        <v/>
      </c>
      <c r="K314" s="18">
        <f>K311-K313</f>
        <v/>
      </c>
      <c r="L314" s="18">
        <f>L311-L313</f>
        <v/>
      </c>
      <c r="N314" s="19">
        <f>SUM(C314:L314)</f>
        <v/>
      </c>
    </row>
    <row r="315">
      <c r="A315" t="inlineStr">
        <is>
          <t>Present value</t>
        </is>
      </c>
      <c r="B315" t="inlineStr">
        <is>
          <t>$M</t>
        </is>
      </c>
      <c r="C315" s="18">
        <f>C314/(1+Model!$B$24)^C$303</f>
        <v/>
      </c>
      <c r="D315" s="18">
        <f>D314/(1+Model!$B$24)^D$303</f>
        <v/>
      </c>
      <c r="E315" s="18">
        <f>E314/(1+Model!$B$24)^E$303</f>
        <v/>
      </c>
      <c r="F315" s="18">
        <f>F314/(1+Model!$B$24)^F$303</f>
        <v/>
      </c>
      <c r="G315" s="18">
        <f>G314/(1+Model!$B$24)^G$303</f>
        <v/>
      </c>
      <c r="H315" s="18">
        <f>H314/(1+Model!$B$24)^H$303</f>
        <v/>
      </c>
      <c r="I315" s="18">
        <f>I314/(1+Model!$B$24)^I$303</f>
        <v/>
      </c>
      <c r="J315" s="18">
        <f>J314/(1+Model!$B$24)^J$303</f>
        <v/>
      </c>
      <c r="K315" s="18">
        <f>K314/(1+Model!$B$24)^K$303</f>
        <v/>
      </c>
      <c r="L315" s="18">
        <f>L314/(1+Model!$B$24)^L$303</f>
        <v/>
      </c>
      <c r="M315" s="18">
        <f>IF(ISNUMBER($B$319),$B$319,"excluded (undefined)")</f>
        <v/>
      </c>
      <c r="N315" s="19">
        <f>SUM(C315:L315)</f>
        <v/>
      </c>
    </row>
    <row r="317">
      <c r="A317" s="21" t="inlineStr">
        <is>
          <t>Sum of present values, years 1-10</t>
        </is>
      </c>
      <c r="B317" s="22">
        <f>SUM(C315:L315)</f>
        <v/>
      </c>
      <c r="C317" t="inlineStr">
        <is>
          <t>$M</t>
        </is>
      </c>
    </row>
    <row r="318">
      <c r="A318" s="21" t="inlineStr">
        <is>
          <t>Terminal value at year 10</t>
        </is>
      </c>
      <c r="B318" s="22">
        <f>IF(Model!$B$24&gt;Model!$B$28,L314*(1+Model!$B$28)/(Model!$B$24-Model!$B$28),"terminal value undefined: discount rate must exceed terminal growth")</f>
        <v/>
      </c>
      <c r="C318" t="inlineStr">
        <is>
          <t>$M</t>
        </is>
      </c>
    </row>
    <row r="319">
      <c r="A319" s="21" t="inlineStr">
        <is>
          <t>Present value of terminal value</t>
        </is>
      </c>
      <c r="B319" s="22">
        <f>IF(ISNUMBER($B$318),$B$318/(1+Model!$B$24)^L$303,"excluded (undefined)")</f>
        <v/>
      </c>
      <c r="C319" t="inlineStr">
        <is>
          <t>$M</t>
        </is>
      </c>
    </row>
    <row r="320">
      <c r="A320" s="3" t="inlineStr">
        <is>
          <t>Equity value</t>
        </is>
      </c>
      <c r="B320" s="23">
        <f>$B$317+IF(ISNUMBER($B$319),$B$319,0)-Model!$B$20</f>
        <v/>
      </c>
      <c r="C320" t="inlineStr">
        <is>
          <t>$M</t>
        </is>
      </c>
    </row>
    <row r="321">
      <c r="A321" s="21" t="inlineStr">
        <is>
          <t>Terminal value as share of equity value</t>
        </is>
      </c>
      <c r="B321" s="24">
        <f>IF(ISNUMBER($B$319),IF($B$320=0,"n/a (equity value is 0)",$B$319/$B$320),"excluded (undefined)")</f>
        <v/>
      </c>
      <c r="C321" t="inlineStr">
        <is>
          <t>fraction</t>
        </is>
      </c>
    </row>
    <row r="322">
      <c r="A322" s="21" t="inlineStr">
        <is>
          <t>Equity value / TTM revenue (price-to-sales)</t>
        </is>
      </c>
      <c r="B322" s="11">
        <f>IF(Model!$B$21=0,0,$B$320/Model!$B$21)</f>
        <v/>
      </c>
      <c r="C322" t="inlineStr">
        <is>
          <t>x</t>
        </is>
      </c>
    </row>
    <row r="325">
      <c r="A325" s="3" t="inlineStr">
        <is>
          <t>Scenario: retention = Model!A74, ring growth = Model!D70</t>
        </is>
      </c>
    </row>
    <row r="326">
      <c r="A326" s="3" t="inlineStr">
        <is>
          <t>Year</t>
        </is>
      </c>
      <c r="B326" s="3" t="inlineStr">
        <is>
          <t>Unit</t>
        </is>
      </c>
      <c r="C326" s="15" t="n">
        <v>1</v>
      </c>
      <c r="D326" s="15" t="n">
        <v>2</v>
      </c>
      <c r="E326" s="15" t="n">
        <v>3</v>
      </c>
      <c r="F326" s="15" t="n">
        <v>4</v>
      </c>
      <c r="G326" s="15" t="n">
        <v>5</v>
      </c>
      <c r="H326" s="15" t="n">
        <v>6</v>
      </c>
      <c r="I326" s="15" t="n">
        <v>7</v>
      </c>
      <c r="J326" s="15" t="n">
        <v>8</v>
      </c>
      <c r="K326" s="15" t="n">
        <v>9</v>
      </c>
      <c r="L326" s="15" t="n">
        <v>10</v>
      </c>
      <c r="M326" s="3" t="inlineStr">
        <is>
          <t>Terminal</t>
        </is>
      </c>
      <c r="N326" s="3" t="inlineStr">
        <is>
          <t>Total</t>
        </is>
      </c>
    </row>
    <row r="327">
      <c r="A327" t="inlineStr">
        <is>
          <t>Rings sold</t>
        </is>
      </c>
      <c r="B327" t="inlineStr">
        <is>
          <t>M</t>
        </is>
      </c>
      <c r="C327" s="16">
        <f>Model!$B$17*(1+Model!$D$70)^MIN(C$326,Model!$B$26)</f>
        <v/>
      </c>
      <c r="D327" s="16">
        <f>Model!$B$17*(1+Model!$D$70)^MIN(D$326,Model!$B$26)</f>
        <v/>
      </c>
      <c r="E327" s="16">
        <f>Model!$B$17*(1+Model!$D$70)^MIN(E$326,Model!$B$26)</f>
        <v/>
      </c>
      <c r="F327" s="16">
        <f>Model!$B$17*(1+Model!$D$70)^MIN(F$326,Model!$B$26)</f>
        <v/>
      </c>
      <c r="G327" s="16">
        <f>Model!$B$17*(1+Model!$D$70)^MIN(G$326,Model!$B$26)</f>
        <v/>
      </c>
      <c r="H327" s="16">
        <f>Model!$B$17*(1+Model!$D$70)^MIN(H$326,Model!$B$26)</f>
        <v/>
      </c>
      <c r="I327" s="16">
        <f>Model!$B$17*(1+Model!$D$70)^MIN(I$326,Model!$B$26)</f>
        <v/>
      </c>
      <c r="J327" s="16">
        <f>Model!$B$17*(1+Model!$D$70)^MIN(J$326,Model!$B$26)</f>
        <v/>
      </c>
      <c r="K327" s="16">
        <f>Model!$B$17*(1+Model!$D$70)^MIN(K$326,Model!$B$26)</f>
        <v/>
      </c>
      <c r="L327" s="16">
        <f>Model!$B$17*(1+Model!$D$70)^MIN(L$326,Model!$B$26)</f>
        <v/>
      </c>
      <c r="N327" s="17">
        <f>SUM(C327:L327)</f>
        <v/>
      </c>
    </row>
    <row r="328">
      <c r="A328" t="inlineStr">
        <is>
          <t>New paid members</t>
        </is>
      </c>
      <c r="B328" t="inlineStr">
        <is>
          <t>M</t>
        </is>
      </c>
      <c r="C328" s="16">
        <f>C327*(1-Model!$B$13)*Model!$B$12</f>
        <v/>
      </c>
      <c r="D328" s="16">
        <f>D327*(1-Model!$B$13)*Model!$B$12</f>
        <v/>
      </c>
      <c r="E328" s="16">
        <f>E327*(1-Model!$B$13)*Model!$B$12</f>
        <v/>
      </c>
      <c r="F328" s="16">
        <f>F327*(1-Model!$B$13)*Model!$B$12</f>
        <v/>
      </c>
      <c r="G328" s="16">
        <f>G327*(1-Model!$B$13)*Model!$B$12</f>
        <v/>
      </c>
      <c r="H328" s="16">
        <f>H327*(1-Model!$B$13)*Model!$B$12</f>
        <v/>
      </c>
      <c r="I328" s="16">
        <f>I327*(1-Model!$B$13)*Model!$B$12</f>
        <v/>
      </c>
      <c r="J328" s="16">
        <f>J327*(1-Model!$B$13)*Model!$B$12</f>
        <v/>
      </c>
      <c r="K328" s="16">
        <f>K327*(1-Model!$B$13)*Model!$B$12</f>
        <v/>
      </c>
      <c r="L328" s="16">
        <f>L327*(1-Model!$B$13)*Model!$B$12</f>
        <v/>
      </c>
      <c r="N328" s="17">
        <f>SUM(C328:L328)</f>
        <v/>
      </c>
    </row>
    <row r="329">
      <c r="A329" t="inlineStr">
        <is>
          <t>Paid members</t>
        </is>
      </c>
      <c r="B329" t="inlineStr">
        <is>
          <t>M</t>
        </is>
      </c>
      <c r="C329" s="16">
        <f>Model!$B$18*Model!$A$74+C328</f>
        <v/>
      </c>
      <c r="D329" s="16">
        <f>C329*Model!$A$74+D328</f>
        <v/>
      </c>
      <c r="E329" s="16">
        <f>D329*Model!$A$74+E328</f>
        <v/>
      </c>
      <c r="F329" s="16">
        <f>E329*Model!$A$74+F328</f>
        <v/>
      </c>
      <c r="G329" s="16">
        <f>F329*Model!$A$74+G328</f>
        <v/>
      </c>
      <c r="H329" s="16">
        <f>G329*Model!$A$74+H328</f>
        <v/>
      </c>
      <c r="I329" s="16">
        <f>H329*Model!$A$74+I328</f>
        <v/>
      </c>
      <c r="J329" s="16">
        <f>I329*Model!$A$74+J328</f>
        <v/>
      </c>
      <c r="K329" s="16">
        <f>J329*Model!$A$74+K328</f>
        <v/>
      </c>
      <c r="L329" s="16">
        <f>K329*Model!$A$74+L328</f>
        <v/>
      </c>
    </row>
    <row r="330">
      <c r="A330" t="inlineStr">
        <is>
          <t>Revenue (hardware + membership)</t>
        </is>
      </c>
      <c r="B330" t="inlineStr">
        <is>
          <t>$M</t>
        </is>
      </c>
      <c r="C330" s="18">
        <f>C327*Model!$B$8+C329*IF(Model!$A$74&gt;0,1,0)*Model!$B$10</f>
        <v/>
      </c>
      <c r="D330" s="18">
        <f>D327*Model!$B$8+D329*IF(Model!$A$74&gt;0,1,0)*Model!$B$10</f>
        <v/>
      </c>
      <c r="E330" s="18">
        <f>E327*Model!$B$8+E329*IF(Model!$A$74&gt;0,1,0)*Model!$B$10</f>
        <v/>
      </c>
      <c r="F330" s="18">
        <f>F327*Model!$B$8+F329*IF(Model!$A$74&gt;0,1,0)*Model!$B$10</f>
        <v/>
      </c>
      <c r="G330" s="18">
        <f>G327*Model!$B$8+G329*IF(Model!$A$74&gt;0,1,0)*Model!$B$10</f>
        <v/>
      </c>
      <c r="H330" s="18">
        <f>H327*Model!$B$8+H329*IF(Model!$A$74&gt;0,1,0)*Model!$B$10</f>
        <v/>
      </c>
      <c r="I330" s="18">
        <f>I327*Model!$B$8+I329*IF(Model!$A$74&gt;0,1,0)*Model!$B$10</f>
        <v/>
      </c>
      <c r="J330" s="18">
        <f>J327*Model!$B$8+J329*IF(Model!$A$74&gt;0,1,0)*Model!$B$10</f>
        <v/>
      </c>
      <c r="K330" s="18">
        <f>K327*Model!$B$8+K329*IF(Model!$A$74&gt;0,1,0)*Model!$B$10</f>
        <v/>
      </c>
      <c r="L330" s="18">
        <f>L327*Model!$B$8+L329*IF(Model!$A$74&gt;0,1,0)*Model!$B$10</f>
        <v/>
      </c>
      <c r="N330" s="19">
        <f>SUM(C330:L330)</f>
        <v/>
      </c>
    </row>
    <row r="331">
      <c r="A331" t="inlineStr">
        <is>
          <t>Membership gross profit</t>
        </is>
      </c>
      <c r="B331" t="inlineStr">
        <is>
          <t>$M</t>
        </is>
      </c>
      <c r="C331" s="18">
        <f>C329*IF(Model!$A$74&gt;0,1,0)*Model!$B$10*Model!$B$11</f>
        <v/>
      </c>
      <c r="D331" s="18">
        <f>D329*IF(Model!$A$74&gt;0,1,0)*Model!$B$10*Model!$B$11</f>
        <v/>
      </c>
      <c r="E331" s="18">
        <f>E329*IF(Model!$A$74&gt;0,1,0)*Model!$B$10*Model!$B$11</f>
        <v/>
      </c>
      <c r="F331" s="18">
        <f>F329*IF(Model!$A$74&gt;0,1,0)*Model!$B$10*Model!$B$11</f>
        <v/>
      </c>
      <c r="G331" s="18">
        <f>G329*IF(Model!$A$74&gt;0,1,0)*Model!$B$10*Model!$B$11</f>
        <v/>
      </c>
      <c r="H331" s="18">
        <f>H329*IF(Model!$A$74&gt;0,1,0)*Model!$B$10*Model!$B$11</f>
        <v/>
      </c>
      <c r="I331" s="18">
        <f>I329*IF(Model!$A$74&gt;0,1,0)*Model!$B$10*Model!$B$11</f>
        <v/>
      </c>
      <c r="J331" s="18">
        <f>J329*IF(Model!$A$74&gt;0,1,0)*Model!$B$10*Model!$B$11</f>
        <v/>
      </c>
      <c r="K331" s="18">
        <f>K329*IF(Model!$A$74&gt;0,1,0)*Model!$B$10*Model!$B$11</f>
        <v/>
      </c>
      <c r="L331" s="18">
        <f>L329*IF(Model!$A$74&gt;0,1,0)*Model!$B$10*Model!$B$11</f>
        <v/>
      </c>
      <c r="N331" s="19">
        <f>SUM(C331:L331)</f>
        <v/>
      </c>
    </row>
    <row r="332">
      <c r="A332" t="inlineStr">
        <is>
          <t>Hardware contribution</t>
        </is>
      </c>
      <c r="B332" t="inlineStr">
        <is>
          <t>$M</t>
        </is>
      </c>
      <c r="C332" s="18">
        <f>C327*Model!$B$34</f>
        <v/>
      </c>
      <c r="D332" s="18">
        <f>D327*Model!$B$34</f>
        <v/>
      </c>
      <c r="E332" s="18">
        <f>E327*Model!$B$34</f>
        <v/>
      </c>
      <c r="F332" s="18">
        <f>F327*Model!$B$34</f>
        <v/>
      </c>
      <c r="G332" s="18">
        <f>G327*Model!$B$34</f>
        <v/>
      </c>
      <c r="H332" s="18">
        <f>H327*Model!$B$34</f>
        <v/>
      </c>
      <c r="I332" s="18">
        <f>I327*Model!$B$34</f>
        <v/>
      </c>
      <c r="J332" s="18">
        <f>J327*Model!$B$34</f>
        <v/>
      </c>
      <c r="K332" s="18">
        <f>K327*Model!$B$34</f>
        <v/>
      </c>
      <c r="L332" s="18">
        <f>L327*Model!$B$34</f>
        <v/>
      </c>
      <c r="N332" s="19">
        <f>SUM(C332:L332)</f>
        <v/>
      </c>
    </row>
    <row r="333">
      <c r="A333" t="inlineStr">
        <is>
          <t>Fixed costs (R&amp;D + G&amp;A)</t>
        </is>
      </c>
      <c r="B333" t="inlineStr">
        <is>
          <t>$M</t>
        </is>
      </c>
      <c r="C333" s="18">
        <f>Model!$B$19*(1+Model!$B$27)^MIN(C$326,Model!$B$26)</f>
        <v/>
      </c>
      <c r="D333" s="18">
        <f>Model!$B$19*(1+Model!$B$27)^MIN(D$326,Model!$B$26)</f>
        <v/>
      </c>
      <c r="E333" s="18">
        <f>Model!$B$19*(1+Model!$B$27)^MIN(E$326,Model!$B$26)</f>
        <v/>
      </c>
      <c r="F333" s="18">
        <f>Model!$B$19*(1+Model!$B$27)^MIN(F$326,Model!$B$26)</f>
        <v/>
      </c>
      <c r="G333" s="18">
        <f>Model!$B$19*(1+Model!$B$27)^MIN(G$326,Model!$B$26)</f>
        <v/>
      </c>
      <c r="H333" s="18">
        <f>Model!$B$19*(1+Model!$B$27)^MIN(H$326,Model!$B$26)</f>
        <v/>
      </c>
      <c r="I333" s="18">
        <f>Model!$B$19*(1+Model!$B$27)^MIN(I$326,Model!$B$26)</f>
        <v/>
      </c>
      <c r="J333" s="18">
        <f>Model!$B$19*(1+Model!$B$27)^MIN(J$326,Model!$B$26)</f>
        <v/>
      </c>
      <c r="K333" s="18">
        <f>Model!$B$19*(1+Model!$B$27)^MIN(K$326,Model!$B$26)</f>
        <v/>
      </c>
      <c r="L333" s="18">
        <f>Model!$B$19*(1+Model!$B$27)^MIN(L$326,Model!$B$26)</f>
        <v/>
      </c>
      <c r="N333" s="19">
        <f>SUM(C333:L333)</f>
        <v/>
      </c>
    </row>
    <row r="334">
      <c r="A334" t="inlineStr">
        <is>
          <t>Operating profit  ⚠ full-year membership credit in every cohort's acquisition year (see the year-one flag on the web page); reported nine-month income from operations was $71.2M</t>
        </is>
      </c>
      <c r="B334" t="inlineStr">
        <is>
          <t>$M</t>
        </is>
      </c>
      <c r="C334" s="18">
        <f>C331+C332-C333</f>
        <v/>
      </c>
      <c r="D334" s="18">
        <f>D331+D332-D333</f>
        <v/>
      </c>
      <c r="E334" s="18">
        <f>E331+E332-E333</f>
        <v/>
      </c>
      <c r="F334" s="18">
        <f>F331+F332-F333</f>
        <v/>
      </c>
      <c r="G334" s="18">
        <f>G331+G332-G333</f>
        <v/>
      </c>
      <c r="H334" s="18">
        <f>H331+H332-H333</f>
        <v/>
      </c>
      <c r="I334" s="18">
        <f>I331+I332-I333</f>
        <v/>
      </c>
      <c r="J334" s="18">
        <f>J331+J332-J333</f>
        <v/>
      </c>
      <c r="K334" s="18">
        <f>K331+K332-K333</f>
        <v/>
      </c>
      <c r="L334" s="18">
        <f>L331+L332-L333</f>
        <v/>
      </c>
      <c r="N334" s="19">
        <f>SUM(C334:L334)</f>
        <v/>
      </c>
    </row>
    <row r="335">
      <c r="A335" t="inlineStr">
        <is>
          <t>Operating margin</t>
        </is>
      </c>
      <c r="B335" t="inlineStr">
        <is>
          <t>fraction</t>
        </is>
      </c>
      <c r="C335" s="20">
        <f>IF(C330=0,0,C334/C330)</f>
        <v/>
      </c>
      <c r="D335" s="20">
        <f>IF(D330=0,0,D334/D330)</f>
        <v/>
      </c>
      <c r="E335" s="20">
        <f>IF(E330=0,0,E334/E330)</f>
        <v/>
      </c>
      <c r="F335" s="20">
        <f>IF(F330=0,0,F334/F330)</f>
        <v/>
      </c>
      <c r="G335" s="20">
        <f>IF(G330=0,0,G334/G330)</f>
        <v/>
      </c>
      <c r="H335" s="20">
        <f>IF(H330=0,0,H334/H330)</f>
        <v/>
      </c>
      <c r="I335" s="20">
        <f>IF(I330=0,0,I334/I330)</f>
        <v/>
      </c>
      <c r="J335" s="20">
        <f>IF(J330=0,0,J334/J330)</f>
        <v/>
      </c>
      <c r="K335" s="20">
        <f>IF(K330=0,0,K334/K330)</f>
        <v/>
      </c>
      <c r="L335" s="20">
        <f>IF(L330=0,0,L334/L330)</f>
        <v/>
      </c>
    </row>
    <row r="336">
      <c r="A336" t="inlineStr">
        <is>
          <t>Tax</t>
        </is>
      </c>
      <c r="B336" t="inlineStr">
        <is>
          <t>$M</t>
        </is>
      </c>
      <c r="C336" s="18">
        <f>MAX(0,C334)*Model!$B$23</f>
        <v/>
      </c>
      <c r="D336" s="18">
        <f>MAX(0,D334)*Model!$B$23</f>
        <v/>
      </c>
      <c r="E336" s="18">
        <f>MAX(0,E334)*Model!$B$23</f>
        <v/>
      </c>
      <c r="F336" s="18">
        <f>MAX(0,F334)*Model!$B$23</f>
        <v/>
      </c>
      <c r="G336" s="18">
        <f>MAX(0,G334)*Model!$B$23</f>
        <v/>
      </c>
      <c r="H336" s="18">
        <f>MAX(0,H334)*Model!$B$23</f>
        <v/>
      </c>
      <c r="I336" s="18">
        <f>MAX(0,I334)*Model!$B$23</f>
        <v/>
      </c>
      <c r="J336" s="18">
        <f>MAX(0,J334)*Model!$B$23</f>
        <v/>
      </c>
      <c r="K336" s="18">
        <f>MAX(0,K334)*Model!$B$23</f>
        <v/>
      </c>
      <c r="L336" s="18">
        <f>MAX(0,L334)*Model!$B$23</f>
        <v/>
      </c>
      <c r="N336" s="19">
        <f>SUM(C336:L336)</f>
        <v/>
      </c>
    </row>
    <row r="337">
      <c r="A337" t="inlineStr">
        <is>
          <t>After-tax cash flow</t>
        </is>
      </c>
      <c r="B337" t="inlineStr">
        <is>
          <t>$M</t>
        </is>
      </c>
      <c r="C337" s="18">
        <f>C334-C336</f>
        <v/>
      </c>
      <c r="D337" s="18">
        <f>D334-D336</f>
        <v/>
      </c>
      <c r="E337" s="18">
        <f>E334-E336</f>
        <v/>
      </c>
      <c r="F337" s="18">
        <f>F334-F336</f>
        <v/>
      </c>
      <c r="G337" s="18">
        <f>G334-G336</f>
        <v/>
      </c>
      <c r="H337" s="18">
        <f>H334-H336</f>
        <v/>
      </c>
      <c r="I337" s="18">
        <f>I334-I336</f>
        <v/>
      </c>
      <c r="J337" s="18">
        <f>J334-J336</f>
        <v/>
      </c>
      <c r="K337" s="18">
        <f>K334-K336</f>
        <v/>
      </c>
      <c r="L337" s="18">
        <f>L334-L336</f>
        <v/>
      </c>
      <c r="N337" s="19">
        <f>SUM(C337:L337)</f>
        <v/>
      </c>
    </row>
    <row r="338">
      <c r="A338" t="inlineStr">
        <is>
          <t>Present value</t>
        </is>
      </c>
      <c r="B338" t="inlineStr">
        <is>
          <t>$M</t>
        </is>
      </c>
      <c r="C338" s="18">
        <f>C337/(1+Model!$B$24)^C$326</f>
        <v/>
      </c>
      <c r="D338" s="18">
        <f>D337/(1+Model!$B$24)^D$326</f>
        <v/>
      </c>
      <c r="E338" s="18">
        <f>E337/(1+Model!$B$24)^E$326</f>
        <v/>
      </c>
      <c r="F338" s="18">
        <f>F337/(1+Model!$B$24)^F$326</f>
        <v/>
      </c>
      <c r="G338" s="18">
        <f>G337/(1+Model!$B$24)^G$326</f>
        <v/>
      </c>
      <c r="H338" s="18">
        <f>H337/(1+Model!$B$24)^H$326</f>
        <v/>
      </c>
      <c r="I338" s="18">
        <f>I337/(1+Model!$B$24)^I$326</f>
        <v/>
      </c>
      <c r="J338" s="18">
        <f>J337/(1+Model!$B$24)^J$326</f>
        <v/>
      </c>
      <c r="K338" s="18">
        <f>K337/(1+Model!$B$24)^K$326</f>
        <v/>
      </c>
      <c r="L338" s="18">
        <f>L337/(1+Model!$B$24)^L$326</f>
        <v/>
      </c>
      <c r="M338" s="18">
        <f>IF(ISNUMBER($B$342),$B$342,"excluded (undefined)")</f>
        <v/>
      </c>
      <c r="N338" s="19">
        <f>SUM(C338:L338)</f>
        <v/>
      </c>
    </row>
    <row r="340">
      <c r="A340" s="21" t="inlineStr">
        <is>
          <t>Sum of present values, years 1-10</t>
        </is>
      </c>
      <c r="B340" s="22">
        <f>SUM(C338:L338)</f>
        <v/>
      </c>
      <c r="C340" t="inlineStr">
        <is>
          <t>$M</t>
        </is>
      </c>
    </row>
    <row r="341">
      <c r="A341" s="21" t="inlineStr">
        <is>
          <t>Terminal value at year 10</t>
        </is>
      </c>
      <c r="B341" s="22">
        <f>IF(Model!$B$24&gt;Model!$B$28,L337*(1+Model!$B$28)/(Model!$B$24-Model!$B$28),"terminal value undefined: discount rate must exceed terminal growth")</f>
        <v/>
      </c>
      <c r="C341" t="inlineStr">
        <is>
          <t>$M</t>
        </is>
      </c>
    </row>
    <row r="342">
      <c r="A342" s="21" t="inlineStr">
        <is>
          <t>Present value of terminal value</t>
        </is>
      </c>
      <c r="B342" s="22">
        <f>IF(ISNUMBER($B$341),$B$341/(1+Model!$B$24)^L$326,"excluded (undefined)")</f>
        <v/>
      </c>
      <c r="C342" t="inlineStr">
        <is>
          <t>$M</t>
        </is>
      </c>
    </row>
    <row r="343">
      <c r="A343" s="3" t="inlineStr">
        <is>
          <t>Equity value</t>
        </is>
      </c>
      <c r="B343" s="23">
        <f>$B$340+IF(ISNUMBER($B$342),$B$342,0)-Model!$B$20</f>
        <v/>
      </c>
      <c r="C343" t="inlineStr">
        <is>
          <t>$M</t>
        </is>
      </c>
    </row>
    <row r="344">
      <c r="A344" s="21" t="inlineStr">
        <is>
          <t>Terminal value as share of equity value</t>
        </is>
      </c>
      <c r="B344" s="24">
        <f>IF(ISNUMBER($B$342),IF($B$343=0,"n/a (equity value is 0)",$B$342/$B$343),"excluded (undefined)")</f>
        <v/>
      </c>
      <c r="C344" t="inlineStr">
        <is>
          <t>fraction</t>
        </is>
      </c>
    </row>
    <row r="345">
      <c r="A345" s="21" t="inlineStr">
        <is>
          <t>Equity value / TTM revenue (price-to-sales)</t>
        </is>
      </c>
      <c r="B345" s="11">
        <f>IF(Model!$B$21=0,0,$B$343/Model!$B$21)</f>
        <v/>
      </c>
      <c r="C345" t="inlineStr">
        <is>
          <t>x</t>
        </is>
      </c>
    </row>
    <row r="348">
      <c r="A348" s="3" t="inlineStr">
        <is>
          <t>Scenario: retention = Model!A74, ring growth = Model!E70</t>
        </is>
      </c>
    </row>
    <row r="349">
      <c r="A349" s="3" t="inlineStr">
        <is>
          <t>Year</t>
        </is>
      </c>
      <c r="B349" s="3" t="inlineStr">
        <is>
          <t>Unit</t>
        </is>
      </c>
      <c r="C349" s="15" t="n">
        <v>1</v>
      </c>
      <c r="D349" s="15" t="n">
        <v>2</v>
      </c>
      <c r="E349" s="15" t="n">
        <v>3</v>
      </c>
      <c r="F349" s="15" t="n">
        <v>4</v>
      </c>
      <c r="G349" s="15" t="n">
        <v>5</v>
      </c>
      <c r="H349" s="15" t="n">
        <v>6</v>
      </c>
      <c r="I349" s="15" t="n">
        <v>7</v>
      </c>
      <c r="J349" s="15" t="n">
        <v>8</v>
      </c>
      <c r="K349" s="15" t="n">
        <v>9</v>
      </c>
      <c r="L349" s="15" t="n">
        <v>10</v>
      </c>
      <c r="M349" s="3" t="inlineStr">
        <is>
          <t>Terminal</t>
        </is>
      </c>
      <c r="N349" s="3" t="inlineStr">
        <is>
          <t>Total</t>
        </is>
      </c>
    </row>
    <row r="350">
      <c r="A350" t="inlineStr">
        <is>
          <t>Rings sold</t>
        </is>
      </c>
      <c r="B350" t="inlineStr">
        <is>
          <t>M</t>
        </is>
      </c>
      <c r="C350" s="16">
        <f>Model!$B$17*(1+Model!$E$70)^MIN(C$349,Model!$B$26)</f>
        <v/>
      </c>
      <c r="D350" s="16">
        <f>Model!$B$17*(1+Model!$E$70)^MIN(D$349,Model!$B$26)</f>
        <v/>
      </c>
      <c r="E350" s="16">
        <f>Model!$B$17*(1+Model!$E$70)^MIN(E$349,Model!$B$26)</f>
        <v/>
      </c>
      <c r="F350" s="16">
        <f>Model!$B$17*(1+Model!$E$70)^MIN(F$349,Model!$B$26)</f>
        <v/>
      </c>
      <c r="G350" s="16">
        <f>Model!$B$17*(1+Model!$E$70)^MIN(G$349,Model!$B$26)</f>
        <v/>
      </c>
      <c r="H350" s="16">
        <f>Model!$B$17*(1+Model!$E$70)^MIN(H$349,Model!$B$26)</f>
        <v/>
      </c>
      <c r="I350" s="16">
        <f>Model!$B$17*(1+Model!$E$70)^MIN(I$349,Model!$B$26)</f>
        <v/>
      </c>
      <c r="J350" s="16">
        <f>Model!$B$17*(1+Model!$E$70)^MIN(J$349,Model!$B$26)</f>
        <v/>
      </c>
      <c r="K350" s="16">
        <f>Model!$B$17*(1+Model!$E$70)^MIN(K$349,Model!$B$26)</f>
        <v/>
      </c>
      <c r="L350" s="16">
        <f>Model!$B$17*(1+Model!$E$70)^MIN(L$349,Model!$B$26)</f>
        <v/>
      </c>
      <c r="N350" s="17">
        <f>SUM(C350:L350)</f>
        <v/>
      </c>
    </row>
    <row r="351">
      <c r="A351" t="inlineStr">
        <is>
          <t>New paid members</t>
        </is>
      </c>
      <c r="B351" t="inlineStr">
        <is>
          <t>M</t>
        </is>
      </c>
      <c r="C351" s="16">
        <f>C350*(1-Model!$B$13)*Model!$B$12</f>
        <v/>
      </c>
      <c r="D351" s="16">
        <f>D350*(1-Model!$B$13)*Model!$B$12</f>
        <v/>
      </c>
      <c r="E351" s="16">
        <f>E350*(1-Model!$B$13)*Model!$B$12</f>
        <v/>
      </c>
      <c r="F351" s="16">
        <f>F350*(1-Model!$B$13)*Model!$B$12</f>
        <v/>
      </c>
      <c r="G351" s="16">
        <f>G350*(1-Model!$B$13)*Model!$B$12</f>
        <v/>
      </c>
      <c r="H351" s="16">
        <f>H350*(1-Model!$B$13)*Model!$B$12</f>
        <v/>
      </c>
      <c r="I351" s="16">
        <f>I350*(1-Model!$B$13)*Model!$B$12</f>
        <v/>
      </c>
      <c r="J351" s="16">
        <f>J350*(1-Model!$B$13)*Model!$B$12</f>
        <v/>
      </c>
      <c r="K351" s="16">
        <f>K350*(1-Model!$B$13)*Model!$B$12</f>
        <v/>
      </c>
      <c r="L351" s="16">
        <f>L350*(1-Model!$B$13)*Model!$B$12</f>
        <v/>
      </c>
      <c r="N351" s="17">
        <f>SUM(C351:L351)</f>
        <v/>
      </c>
    </row>
    <row r="352">
      <c r="A352" t="inlineStr">
        <is>
          <t>Paid members</t>
        </is>
      </c>
      <c r="B352" t="inlineStr">
        <is>
          <t>M</t>
        </is>
      </c>
      <c r="C352" s="16">
        <f>Model!$B$18*Model!$A$74+C351</f>
        <v/>
      </c>
      <c r="D352" s="16">
        <f>C352*Model!$A$74+D351</f>
        <v/>
      </c>
      <c r="E352" s="16">
        <f>D352*Model!$A$74+E351</f>
        <v/>
      </c>
      <c r="F352" s="16">
        <f>E352*Model!$A$74+F351</f>
        <v/>
      </c>
      <c r="G352" s="16">
        <f>F352*Model!$A$74+G351</f>
        <v/>
      </c>
      <c r="H352" s="16">
        <f>G352*Model!$A$74+H351</f>
        <v/>
      </c>
      <c r="I352" s="16">
        <f>H352*Model!$A$74+I351</f>
        <v/>
      </c>
      <c r="J352" s="16">
        <f>I352*Model!$A$74+J351</f>
        <v/>
      </c>
      <c r="K352" s="16">
        <f>J352*Model!$A$74+K351</f>
        <v/>
      </c>
      <c r="L352" s="16">
        <f>K352*Model!$A$74+L351</f>
        <v/>
      </c>
    </row>
    <row r="353">
      <c r="A353" t="inlineStr">
        <is>
          <t>Revenue (hardware + membership)</t>
        </is>
      </c>
      <c r="B353" t="inlineStr">
        <is>
          <t>$M</t>
        </is>
      </c>
      <c r="C353" s="18">
        <f>C350*Model!$B$8+C352*IF(Model!$A$74&gt;0,1,0)*Model!$B$10</f>
        <v/>
      </c>
      <c r="D353" s="18">
        <f>D350*Model!$B$8+D352*IF(Model!$A$74&gt;0,1,0)*Model!$B$10</f>
        <v/>
      </c>
      <c r="E353" s="18">
        <f>E350*Model!$B$8+E352*IF(Model!$A$74&gt;0,1,0)*Model!$B$10</f>
        <v/>
      </c>
      <c r="F353" s="18">
        <f>F350*Model!$B$8+F352*IF(Model!$A$74&gt;0,1,0)*Model!$B$10</f>
        <v/>
      </c>
      <c r="G353" s="18">
        <f>G350*Model!$B$8+G352*IF(Model!$A$74&gt;0,1,0)*Model!$B$10</f>
        <v/>
      </c>
      <c r="H353" s="18">
        <f>H350*Model!$B$8+H352*IF(Model!$A$74&gt;0,1,0)*Model!$B$10</f>
        <v/>
      </c>
      <c r="I353" s="18">
        <f>I350*Model!$B$8+I352*IF(Model!$A$74&gt;0,1,0)*Model!$B$10</f>
        <v/>
      </c>
      <c r="J353" s="18">
        <f>J350*Model!$B$8+J352*IF(Model!$A$74&gt;0,1,0)*Model!$B$10</f>
        <v/>
      </c>
      <c r="K353" s="18">
        <f>K350*Model!$B$8+K352*IF(Model!$A$74&gt;0,1,0)*Model!$B$10</f>
        <v/>
      </c>
      <c r="L353" s="18">
        <f>L350*Model!$B$8+L352*IF(Model!$A$74&gt;0,1,0)*Model!$B$10</f>
        <v/>
      </c>
      <c r="N353" s="19">
        <f>SUM(C353:L353)</f>
        <v/>
      </c>
    </row>
    <row r="354">
      <c r="A354" t="inlineStr">
        <is>
          <t>Membership gross profit</t>
        </is>
      </c>
      <c r="B354" t="inlineStr">
        <is>
          <t>$M</t>
        </is>
      </c>
      <c r="C354" s="18">
        <f>C352*IF(Model!$A$74&gt;0,1,0)*Model!$B$10*Model!$B$11</f>
        <v/>
      </c>
      <c r="D354" s="18">
        <f>D352*IF(Model!$A$74&gt;0,1,0)*Model!$B$10*Model!$B$11</f>
        <v/>
      </c>
      <c r="E354" s="18">
        <f>E352*IF(Model!$A$74&gt;0,1,0)*Model!$B$10*Model!$B$11</f>
        <v/>
      </c>
      <c r="F354" s="18">
        <f>F352*IF(Model!$A$74&gt;0,1,0)*Model!$B$10*Model!$B$11</f>
        <v/>
      </c>
      <c r="G354" s="18">
        <f>G352*IF(Model!$A$74&gt;0,1,0)*Model!$B$10*Model!$B$11</f>
        <v/>
      </c>
      <c r="H354" s="18">
        <f>H352*IF(Model!$A$74&gt;0,1,0)*Model!$B$10*Model!$B$11</f>
        <v/>
      </c>
      <c r="I354" s="18">
        <f>I352*IF(Model!$A$74&gt;0,1,0)*Model!$B$10*Model!$B$11</f>
        <v/>
      </c>
      <c r="J354" s="18">
        <f>J352*IF(Model!$A$74&gt;0,1,0)*Model!$B$10*Model!$B$11</f>
        <v/>
      </c>
      <c r="K354" s="18">
        <f>K352*IF(Model!$A$74&gt;0,1,0)*Model!$B$10*Model!$B$11</f>
        <v/>
      </c>
      <c r="L354" s="18">
        <f>L352*IF(Model!$A$74&gt;0,1,0)*Model!$B$10*Model!$B$11</f>
        <v/>
      </c>
      <c r="N354" s="19">
        <f>SUM(C354:L354)</f>
        <v/>
      </c>
    </row>
    <row r="355">
      <c r="A355" t="inlineStr">
        <is>
          <t>Hardware contribution</t>
        </is>
      </c>
      <c r="B355" t="inlineStr">
        <is>
          <t>$M</t>
        </is>
      </c>
      <c r="C355" s="18">
        <f>C350*Model!$B$34</f>
        <v/>
      </c>
      <c r="D355" s="18">
        <f>D350*Model!$B$34</f>
        <v/>
      </c>
      <c r="E355" s="18">
        <f>E350*Model!$B$34</f>
        <v/>
      </c>
      <c r="F355" s="18">
        <f>F350*Model!$B$34</f>
        <v/>
      </c>
      <c r="G355" s="18">
        <f>G350*Model!$B$34</f>
        <v/>
      </c>
      <c r="H355" s="18">
        <f>H350*Model!$B$34</f>
        <v/>
      </c>
      <c r="I355" s="18">
        <f>I350*Model!$B$34</f>
        <v/>
      </c>
      <c r="J355" s="18">
        <f>J350*Model!$B$34</f>
        <v/>
      </c>
      <c r="K355" s="18">
        <f>K350*Model!$B$34</f>
        <v/>
      </c>
      <c r="L355" s="18">
        <f>L350*Model!$B$34</f>
        <v/>
      </c>
      <c r="N355" s="19">
        <f>SUM(C355:L355)</f>
        <v/>
      </c>
    </row>
    <row r="356">
      <c r="A356" t="inlineStr">
        <is>
          <t>Fixed costs (R&amp;D + G&amp;A)</t>
        </is>
      </c>
      <c r="B356" t="inlineStr">
        <is>
          <t>$M</t>
        </is>
      </c>
      <c r="C356" s="18">
        <f>Model!$B$19*(1+Model!$B$27)^MIN(C$349,Model!$B$26)</f>
        <v/>
      </c>
      <c r="D356" s="18">
        <f>Model!$B$19*(1+Model!$B$27)^MIN(D$349,Model!$B$26)</f>
        <v/>
      </c>
      <c r="E356" s="18">
        <f>Model!$B$19*(1+Model!$B$27)^MIN(E$349,Model!$B$26)</f>
        <v/>
      </c>
      <c r="F356" s="18">
        <f>Model!$B$19*(1+Model!$B$27)^MIN(F$349,Model!$B$26)</f>
        <v/>
      </c>
      <c r="G356" s="18">
        <f>Model!$B$19*(1+Model!$B$27)^MIN(G$349,Model!$B$26)</f>
        <v/>
      </c>
      <c r="H356" s="18">
        <f>Model!$B$19*(1+Model!$B$27)^MIN(H$349,Model!$B$26)</f>
        <v/>
      </c>
      <c r="I356" s="18">
        <f>Model!$B$19*(1+Model!$B$27)^MIN(I$349,Model!$B$26)</f>
        <v/>
      </c>
      <c r="J356" s="18">
        <f>Model!$B$19*(1+Model!$B$27)^MIN(J$349,Model!$B$26)</f>
        <v/>
      </c>
      <c r="K356" s="18">
        <f>Model!$B$19*(1+Model!$B$27)^MIN(K$349,Model!$B$26)</f>
        <v/>
      </c>
      <c r="L356" s="18">
        <f>Model!$B$19*(1+Model!$B$27)^MIN(L$349,Model!$B$26)</f>
        <v/>
      </c>
      <c r="N356" s="19">
        <f>SUM(C356:L356)</f>
        <v/>
      </c>
    </row>
    <row r="357">
      <c r="A357" t="inlineStr">
        <is>
          <t>Operating profit  ⚠ full-year membership credit in every cohort's acquisition year (see the year-one flag on the web page); reported nine-month income from operations was $71.2M</t>
        </is>
      </c>
      <c r="B357" t="inlineStr">
        <is>
          <t>$M</t>
        </is>
      </c>
      <c r="C357" s="18">
        <f>C354+C355-C356</f>
        <v/>
      </c>
      <c r="D357" s="18">
        <f>D354+D355-D356</f>
        <v/>
      </c>
      <c r="E357" s="18">
        <f>E354+E355-E356</f>
        <v/>
      </c>
      <c r="F357" s="18">
        <f>F354+F355-F356</f>
        <v/>
      </c>
      <c r="G357" s="18">
        <f>G354+G355-G356</f>
        <v/>
      </c>
      <c r="H357" s="18">
        <f>H354+H355-H356</f>
        <v/>
      </c>
      <c r="I357" s="18">
        <f>I354+I355-I356</f>
        <v/>
      </c>
      <c r="J357" s="18">
        <f>J354+J355-J356</f>
        <v/>
      </c>
      <c r="K357" s="18">
        <f>K354+K355-K356</f>
        <v/>
      </c>
      <c r="L357" s="18">
        <f>L354+L355-L356</f>
        <v/>
      </c>
      <c r="N357" s="19">
        <f>SUM(C357:L357)</f>
        <v/>
      </c>
    </row>
    <row r="358">
      <c r="A358" t="inlineStr">
        <is>
          <t>Operating margin</t>
        </is>
      </c>
      <c r="B358" t="inlineStr">
        <is>
          <t>fraction</t>
        </is>
      </c>
      <c r="C358" s="20">
        <f>IF(C353=0,0,C357/C353)</f>
        <v/>
      </c>
      <c r="D358" s="20">
        <f>IF(D353=0,0,D357/D353)</f>
        <v/>
      </c>
      <c r="E358" s="20">
        <f>IF(E353=0,0,E357/E353)</f>
        <v/>
      </c>
      <c r="F358" s="20">
        <f>IF(F353=0,0,F357/F353)</f>
        <v/>
      </c>
      <c r="G358" s="20">
        <f>IF(G353=0,0,G357/G353)</f>
        <v/>
      </c>
      <c r="H358" s="20">
        <f>IF(H353=0,0,H357/H353)</f>
        <v/>
      </c>
      <c r="I358" s="20">
        <f>IF(I353=0,0,I357/I353)</f>
        <v/>
      </c>
      <c r="J358" s="20">
        <f>IF(J353=0,0,J357/J353)</f>
        <v/>
      </c>
      <c r="K358" s="20">
        <f>IF(K353=0,0,K357/K353)</f>
        <v/>
      </c>
      <c r="L358" s="20">
        <f>IF(L353=0,0,L357/L353)</f>
        <v/>
      </c>
    </row>
    <row r="359">
      <c r="A359" t="inlineStr">
        <is>
          <t>Tax</t>
        </is>
      </c>
      <c r="B359" t="inlineStr">
        <is>
          <t>$M</t>
        </is>
      </c>
      <c r="C359" s="18">
        <f>MAX(0,C357)*Model!$B$23</f>
        <v/>
      </c>
      <c r="D359" s="18">
        <f>MAX(0,D357)*Model!$B$23</f>
        <v/>
      </c>
      <c r="E359" s="18">
        <f>MAX(0,E357)*Model!$B$23</f>
        <v/>
      </c>
      <c r="F359" s="18">
        <f>MAX(0,F357)*Model!$B$23</f>
        <v/>
      </c>
      <c r="G359" s="18">
        <f>MAX(0,G357)*Model!$B$23</f>
        <v/>
      </c>
      <c r="H359" s="18">
        <f>MAX(0,H357)*Model!$B$23</f>
        <v/>
      </c>
      <c r="I359" s="18">
        <f>MAX(0,I357)*Model!$B$23</f>
        <v/>
      </c>
      <c r="J359" s="18">
        <f>MAX(0,J357)*Model!$B$23</f>
        <v/>
      </c>
      <c r="K359" s="18">
        <f>MAX(0,K357)*Model!$B$23</f>
        <v/>
      </c>
      <c r="L359" s="18">
        <f>MAX(0,L357)*Model!$B$23</f>
        <v/>
      </c>
      <c r="N359" s="19">
        <f>SUM(C359:L359)</f>
        <v/>
      </c>
    </row>
    <row r="360">
      <c r="A360" t="inlineStr">
        <is>
          <t>After-tax cash flow</t>
        </is>
      </c>
      <c r="B360" t="inlineStr">
        <is>
          <t>$M</t>
        </is>
      </c>
      <c r="C360" s="18">
        <f>C357-C359</f>
        <v/>
      </c>
      <c r="D360" s="18">
        <f>D357-D359</f>
        <v/>
      </c>
      <c r="E360" s="18">
        <f>E357-E359</f>
        <v/>
      </c>
      <c r="F360" s="18">
        <f>F357-F359</f>
        <v/>
      </c>
      <c r="G360" s="18">
        <f>G357-G359</f>
        <v/>
      </c>
      <c r="H360" s="18">
        <f>H357-H359</f>
        <v/>
      </c>
      <c r="I360" s="18">
        <f>I357-I359</f>
        <v/>
      </c>
      <c r="J360" s="18">
        <f>J357-J359</f>
        <v/>
      </c>
      <c r="K360" s="18">
        <f>K357-K359</f>
        <v/>
      </c>
      <c r="L360" s="18">
        <f>L357-L359</f>
        <v/>
      </c>
      <c r="N360" s="19">
        <f>SUM(C360:L360)</f>
        <v/>
      </c>
    </row>
    <row r="361">
      <c r="A361" t="inlineStr">
        <is>
          <t>Present value</t>
        </is>
      </c>
      <c r="B361" t="inlineStr">
        <is>
          <t>$M</t>
        </is>
      </c>
      <c r="C361" s="18">
        <f>C360/(1+Model!$B$24)^C$349</f>
        <v/>
      </c>
      <c r="D361" s="18">
        <f>D360/(1+Model!$B$24)^D$349</f>
        <v/>
      </c>
      <c r="E361" s="18">
        <f>E360/(1+Model!$B$24)^E$349</f>
        <v/>
      </c>
      <c r="F361" s="18">
        <f>F360/(1+Model!$B$24)^F$349</f>
        <v/>
      </c>
      <c r="G361" s="18">
        <f>G360/(1+Model!$B$24)^G$349</f>
        <v/>
      </c>
      <c r="H361" s="18">
        <f>H360/(1+Model!$B$24)^H$349</f>
        <v/>
      </c>
      <c r="I361" s="18">
        <f>I360/(1+Model!$B$24)^I$349</f>
        <v/>
      </c>
      <c r="J361" s="18">
        <f>J360/(1+Model!$B$24)^J$349</f>
        <v/>
      </c>
      <c r="K361" s="18">
        <f>K360/(1+Model!$B$24)^K$349</f>
        <v/>
      </c>
      <c r="L361" s="18">
        <f>L360/(1+Model!$B$24)^L$349</f>
        <v/>
      </c>
      <c r="M361" s="18">
        <f>IF(ISNUMBER($B$365),$B$365,"excluded (undefined)")</f>
        <v/>
      </c>
      <c r="N361" s="19">
        <f>SUM(C361:L361)</f>
        <v/>
      </c>
    </row>
    <row r="363">
      <c r="A363" s="21" t="inlineStr">
        <is>
          <t>Sum of present values, years 1-10</t>
        </is>
      </c>
      <c r="B363" s="22">
        <f>SUM(C361:L361)</f>
        <v/>
      </c>
      <c r="C363" t="inlineStr">
        <is>
          <t>$M</t>
        </is>
      </c>
    </row>
    <row r="364">
      <c r="A364" s="21" t="inlineStr">
        <is>
          <t>Terminal value at year 10</t>
        </is>
      </c>
      <c r="B364" s="22">
        <f>IF(Model!$B$24&gt;Model!$B$28,L360*(1+Model!$B$28)/(Model!$B$24-Model!$B$28),"terminal value undefined: discount rate must exceed terminal growth")</f>
        <v/>
      </c>
      <c r="C364" t="inlineStr">
        <is>
          <t>$M</t>
        </is>
      </c>
    </row>
    <row r="365">
      <c r="A365" s="21" t="inlineStr">
        <is>
          <t>Present value of terminal value</t>
        </is>
      </c>
      <c r="B365" s="22">
        <f>IF(ISNUMBER($B$364),$B$364/(1+Model!$B$24)^L$349,"excluded (undefined)")</f>
        <v/>
      </c>
      <c r="C365" t="inlineStr">
        <is>
          <t>$M</t>
        </is>
      </c>
    </row>
    <row r="366">
      <c r="A366" s="3" t="inlineStr">
        <is>
          <t>Equity value</t>
        </is>
      </c>
      <c r="B366" s="23">
        <f>$B$363+IF(ISNUMBER($B$365),$B$365,0)-Model!$B$20</f>
        <v/>
      </c>
      <c r="C366" t="inlineStr">
        <is>
          <t>$M</t>
        </is>
      </c>
    </row>
    <row r="367">
      <c r="A367" s="21" t="inlineStr">
        <is>
          <t>Terminal value as share of equity value</t>
        </is>
      </c>
      <c r="B367" s="24">
        <f>IF(ISNUMBER($B$365),IF($B$366=0,"n/a (equity value is 0)",$B$365/$B$366),"excluded (undefined)")</f>
        <v/>
      </c>
      <c r="C367" t="inlineStr">
        <is>
          <t>fraction</t>
        </is>
      </c>
    </row>
    <row r="368">
      <c r="A368" s="21" t="inlineStr">
        <is>
          <t>Equity value / TTM revenue (price-to-sales)</t>
        </is>
      </c>
      <c r="B368" s="11">
        <f>IF(Model!$B$21=0,0,$B$366/Model!$B$21)</f>
        <v/>
      </c>
      <c r="C368" t="inlineStr">
        <is>
          <t>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2026-09-12T05:51:45Z</dcterms:created>
  <dcterms:modified xmlns:dcterms="http://purl.org/dc/terms/" xmlns:xsi="http://www.w3.org/2001/XMLSchema-instance" xsi:type="dcterms:W3CDTF">2026-09-12T05:51:45Z</dcterms:modified>
</cp:coreProperties>
</file>